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ell\Desktop\PLAN DIRECT MTN -version  VF 12 12 018\"/>
    </mc:Choice>
  </mc:AlternateContent>
  <bookViews>
    <workbookView xWindow="0" yWindow="0" windowWidth="20490" windowHeight="7155" tabRatio="940" firstSheet="3" activeTab="6"/>
  </bookViews>
  <sheets>
    <sheet name="A lire d'abord" sheetId="54" r:id="rId1"/>
    <sheet name="Page d'accueil" sheetId="7" r:id="rId2"/>
    <sheet name="Insérer Districts" sheetId="76" r:id="rId3"/>
    <sheet name="Population" sheetId="36" r:id="rId4"/>
    <sheet name="Plan annuel Différentes Maladie" sheetId="38" r:id="rId5"/>
    <sheet name="Insérer Activités" sheetId="77" r:id="rId6"/>
    <sheet name="Coût Activités" sheetId="69" r:id="rId7"/>
    <sheet name="Feuil1" sheetId="80" r:id="rId8"/>
    <sheet name="Coût des investissements" sheetId="66" r:id="rId9"/>
    <sheet name="Financement" sheetId="19" r:id="rId10"/>
    <sheet name="Coût des médicaments" sheetId="56" r:id="rId11"/>
    <sheet name="Résumé et gaps" sheetId="1" r:id="rId12"/>
    <sheet name="Analyses" sheetId="49" r:id="rId13"/>
    <sheet name="Résumé sommaire (GNF)" sheetId="74" r:id="rId14"/>
    <sheet name="Résumé sommaire (USD)" sheetId="79" r:id="rId15"/>
    <sheet name="Pop Cibles" sheetId="55" r:id="rId16"/>
    <sheet name="Médicaments" sheetId="75" r:id="rId17"/>
    <sheet name="Feuil3" sheetId="82" r:id="rId18"/>
    <sheet name="List" sheetId="78" r:id="rId19"/>
    <sheet name="Résumé sommaire PS" sheetId="81" r:id="rId20"/>
  </sheets>
  <definedNames>
    <definedName name="_xlnm._FilterDatabase" localSheetId="6" hidden="1">'Coût Activités'!$A$1:$AL$171</definedName>
    <definedName name="_xlnm._FilterDatabase" localSheetId="16" hidden="1">Médicaments!$A$3:$Q$33</definedName>
    <definedName name="_xlnm._FilterDatabase" localSheetId="4" hidden="1">'Plan annuel Différentes Maladie'!$A$3:$AZ$41</definedName>
    <definedName name="_xlnm._FilterDatabase" localSheetId="15" hidden="1">'Pop Cibles'!$A$3:$Q$33</definedName>
    <definedName name="_xlnm._FilterDatabase" localSheetId="3" hidden="1">Population!$A$3:$AY$41</definedName>
    <definedName name="Analysis_reporting" localSheetId="5">#REF!</definedName>
    <definedName name="Analysis_reporting" localSheetId="16">#REF!</definedName>
    <definedName name="Analysis_reporting" localSheetId="14">#REF!</definedName>
    <definedName name="Analysis_reporting">#REF!</definedName>
    <definedName name="Equipment_materials" localSheetId="5">#REF!</definedName>
    <definedName name="Equipment_materials" localSheetId="16">#REF!</definedName>
    <definedName name="Equipment_materials" localSheetId="14">#REF!</definedName>
    <definedName name="Equipment_materials">#REF!</definedName>
    <definedName name="Personnel" localSheetId="5">#REF!</definedName>
    <definedName name="Personnel" localSheetId="16">#REF!</definedName>
    <definedName name="Personnel" localSheetId="14">#REF!</definedName>
    <definedName name="Personnel">#REF!</definedName>
    <definedName name="Transport" localSheetId="5">#REF!</definedName>
    <definedName name="Transport" localSheetId="16">#REF!</definedName>
    <definedName name="Transport" localSheetId="14">#REF!</definedName>
    <definedName name="Transport">#REF!</definedName>
    <definedName name="_xlnm.Print_Area" localSheetId="0">'A lire d''abord'!$A$1:$G$41</definedName>
    <definedName name="_xlnm.Print_Area" localSheetId="12">Analyses!$A$1:$T$46</definedName>
    <definedName name="_xlnm.Print_Area" localSheetId="6">'Coût Activités'!$A$1:$AL$164</definedName>
    <definedName name="_xlnm.Print_Area" localSheetId="8">'Coût des investissements'!$A$1:$H$27</definedName>
    <definedName name="_xlnm.Print_Area" localSheetId="9">Financement!$A$1:$BG$41</definedName>
    <definedName name="_xlnm.Print_Area" localSheetId="5">'Insérer Activités'!$A$1:$H$25</definedName>
    <definedName name="_xlnm.Print_Area" localSheetId="2">'Insérer Districts'!$A$1:$H$25</definedName>
    <definedName name="_xlnm.Print_Area" localSheetId="1">'Page d''accueil'!$A$1:$K$24</definedName>
    <definedName name="_xlnm.Print_Area" localSheetId="4">'Plan annuel Différentes Maladie'!$A$1:$AZ$41</definedName>
    <definedName name="_xlnm.Print_Area" localSheetId="11">'Résumé et gaps'!$A$1:$N$52</definedName>
  </definedNames>
  <calcPr calcId="152511"/>
</workbook>
</file>

<file path=xl/calcChain.xml><?xml version="1.0" encoding="utf-8"?>
<calcChain xmlns="http://schemas.openxmlformats.org/spreadsheetml/2006/main">
  <c r="N171" i="69" l="1"/>
  <c r="N170" i="69"/>
  <c r="N169" i="69"/>
  <c r="N168" i="69"/>
  <c r="N167" i="69"/>
  <c r="N166" i="69"/>
  <c r="N165" i="69"/>
  <c r="N164" i="69"/>
  <c r="N163" i="69"/>
  <c r="N162" i="69"/>
  <c r="N161" i="69"/>
  <c r="N160" i="69"/>
  <c r="N159" i="69"/>
  <c r="N158" i="69"/>
  <c r="N157" i="69"/>
  <c r="N156" i="69"/>
  <c r="N155" i="69"/>
  <c r="N154" i="69"/>
  <c r="N153" i="69"/>
  <c r="N152" i="69"/>
  <c r="N151" i="69"/>
  <c r="N150" i="69"/>
  <c r="N149" i="69"/>
  <c r="N148" i="69"/>
  <c r="N147" i="69"/>
  <c r="N146" i="69"/>
  <c r="N145" i="69"/>
  <c r="N144" i="69"/>
  <c r="N143" i="69"/>
  <c r="N142" i="69"/>
  <c r="N141" i="69"/>
  <c r="N140" i="69"/>
  <c r="N139" i="69"/>
  <c r="N138" i="69"/>
  <c r="N137" i="69"/>
  <c r="N136" i="69"/>
  <c r="N135" i="69"/>
  <c r="N134" i="69"/>
  <c r="N133" i="69"/>
  <c r="N132" i="69"/>
  <c r="N131" i="69"/>
  <c r="N130" i="69"/>
  <c r="N128" i="69"/>
  <c r="N127" i="69"/>
  <c r="N126" i="69"/>
  <c r="N125" i="69"/>
  <c r="N124" i="69"/>
  <c r="N123" i="69"/>
  <c r="N122" i="69"/>
  <c r="N121" i="69"/>
  <c r="N120" i="69"/>
  <c r="N119" i="69"/>
  <c r="N118" i="69"/>
  <c r="N117" i="69"/>
  <c r="N116" i="69"/>
  <c r="N115" i="69"/>
  <c r="N114" i="69"/>
  <c r="N113" i="69"/>
  <c r="N112" i="69"/>
  <c r="N111" i="69"/>
  <c r="N110" i="69"/>
  <c r="N109" i="69"/>
  <c r="N108" i="69"/>
  <c r="N107" i="69"/>
  <c r="N106" i="69"/>
  <c r="N105" i="69"/>
  <c r="N104" i="69"/>
  <c r="N103" i="69"/>
  <c r="N102" i="69"/>
  <c r="N101" i="69"/>
  <c r="N100" i="69"/>
  <c r="N99" i="69"/>
  <c r="N98" i="69"/>
  <c r="N97" i="69"/>
  <c r="N96" i="69"/>
  <c r="N95" i="69"/>
  <c r="N94" i="69"/>
  <c r="N93" i="69"/>
  <c r="N92" i="69"/>
  <c r="N91" i="69"/>
  <c r="N90" i="69"/>
  <c r="N89" i="69"/>
  <c r="N88" i="69"/>
  <c r="N87" i="69"/>
  <c r="N86" i="69"/>
  <c r="N85" i="69"/>
  <c r="N84" i="69"/>
  <c r="N83" i="69"/>
  <c r="N82" i="69"/>
  <c r="N81" i="69"/>
  <c r="N80" i="69"/>
  <c r="N79" i="69"/>
  <c r="N78" i="69"/>
  <c r="N77" i="69"/>
  <c r="N76" i="69"/>
  <c r="N75" i="69"/>
  <c r="N74" i="69"/>
  <c r="N73" i="69"/>
  <c r="N72" i="69"/>
  <c r="N71" i="69"/>
  <c r="N70" i="69"/>
  <c r="N69" i="69"/>
  <c r="N68" i="69"/>
  <c r="N67" i="69"/>
  <c r="N66" i="69"/>
  <c r="N65" i="69"/>
  <c r="N64" i="69"/>
  <c r="N63" i="69"/>
  <c r="N62" i="69"/>
  <c r="N61" i="69"/>
  <c r="N60" i="69"/>
  <c r="N59" i="69"/>
  <c r="N58" i="69"/>
  <c r="N57" i="69"/>
  <c r="N56" i="69"/>
  <c r="N55" i="69"/>
  <c r="N54" i="69"/>
  <c r="N53" i="69"/>
  <c r="AL127" i="69"/>
  <c r="AF127" i="69"/>
  <c r="Z127" i="69"/>
  <c r="T128" i="69"/>
  <c r="T127" i="69"/>
  <c r="AL136" i="69"/>
  <c r="AF136" i="69"/>
  <c r="Z136" i="69"/>
  <c r="T136" i="69"/>
  <c r="AL135" i="69"/>
  <c r="AF135" i="69"/>
  <c r="Z135" i="69"/>
  <c r="T135" i="69"/>
  <c r="N52" i="69"/>
  <c r="T52" i="69"/>
  <c r="T53" i="69"/>
  <c r="Z52" i="69"/>
  <c r="Z53" i="69"/>
  <c r="AF52" i="69"/>
  <c r="AF53" i="69"/>
  <c r="AL52" i="69"/>
  <c r="AL53" i="69"/>
  <c r="AL54" i="69"/>
  <c r="T50" i="69"/>
  <c r="T51" i="69"/>
  <c r="AL50" i="69"/>
  <c r="AL51" i="69"/>
  <c r="Z50" i="69"/>
  <c r="Z51" i="69"/>
  <c r="AF50" i="69"/>
  <c r="AF51" i="69"/>
  <c r="N50" i="69"/>
  <c r="N51" i="69"/>
  <c r="AF7" i="69"/>
  <c r="AF8" i="69"/>
  <c r="AL7" i="69"/>
  <c r="AL8" i="69"/>
  <c r="Z7" i="69"/>
  <c r="Z8" i="69"/>
  <c r="T7" i="69"/>
  <c r="T8" i="69"/>
  <c r="T6" i="69"/>
  <c r="Z6" i="69"/>
  <c r="AF6" i="69"/>
  <c r="AL6" i="69"/>
  <c r="N7" i="69"/>
  <c r="N8" i="69"/>
  <c r="N6" i="69"/>
  <c r="AL133" i="69" l="1"/>
  <c r="AF133" i="69"/>
  <c r="Z133" i="69"/>
  <c r="AL132" i="69"/>
  <c r="AF132" i="69"/>
  <c r="Z132" i="69"/>
  <c r="T132" i="69"/>
  <c r="AL131" i="69"/>
  <c r="AF131" i="69"/>
  <c r="Z131" i="69"/>
  <c r="T131" i="69"/>
  <c r="AL130" i="69"/>
  <c r="AF130" i="69"/>
  <c r="Z130" i="69"/>
  <c r="T130" i="69"/>
  <c r="AL129" i="69"/>
  <c r="AF129" i="69"/>
  <c r="Z129" i="69"/>
  <c r="T129" i="69"/>
  <c r="AL128" i="69"/>
  <c r="AF128" i="69"/>
  <c r="Z128" i="69"/>
  <c r="AL126" i="69"/>
  <c r="AF126" i="69"/>
  <c r="Z126" i="69"/>
  <c r="T126" i="69"/>
  <c r="AL124" i="69"/>
  <c r="AF124" i="69"/>
  <c r="Z124" i="69"/>
  <c r="T124" i="69"/>
  <c r="D6" i="81" l="1"/>
  <c r="C6" i="81"/>
  <c r="C5" i="81"/>
  <c r="D4" i="81"/>
  <c r="D5" i="81"/>
  <c r="C4" i="81"/>
  <c r="C3" i="81"/>
  <c r="D3" i="81"/>
  <c r="B7" i="74"/>
  <c r="AL151" i="69" l="1"/>
  <c r="AF151" i="69"/>
  <c r="Z151" i="69"/>
  <c r="T151" i="69"/>
  <c r="AL154" i="69" l="1"/>
  <c r="AF154" i="69"/>
  <c r="Z154" i="69"/>
  <c r="T154" i="69"/>
  <c r="AL155" i="69"/>
  <c r="AF155" i="69"/>
  <c r="Z155" i="69"/>
  <c r="T155" i="69"/>
  <c r="AL152" i="69"/>
  <c r="AF152" i="69"/>
  <c r="Z152" i="69"/>
  <c r="T152" i="69"/>
  <c r="AL150" i="69"/>
  <c r="AF150" i="69"/>
  <c r="Z150" i="69"/>
  <c r="T150" i="69"/>
  <c r="AL142" i="69"/>
  <c r="AF142" i="69"/>
  <c r="Z142" i="69"/>
  <c r="T142" i="69"/>
  <c r="AL141" i="69" l="1"/>
  <c r="AF141" i="69"/>
  <c r="Z141" i="69"/>
  <c r="T141" i="69"/>
  <c r="AL140" i="69"/>
  <c r="AF140" i="69"/>
  <c r="Z140" i="69"/>
  <c r="T140" i="69"/>
  <c r="AL139" i="69"/>
  <c r="AF139" i="69"/>
  <c r="Z139" i="69"/>
  <c r="T139" i="69"/>
  <c r="AL138" i="69"/>
  <c r="AF138" i="69"/>
  <c r="Z138" i="69"/>
  <c r="T138" i="69"/>
  <c r="AL49" i="69" l="1"/>
  <c r="AF49" i="69"/>
  <c r="Z49" i="69"/>
  <c r="T49" i="69"/>
  <c r="N49" i="69"/>
  <c r="AG17" i="69"/>
  <c r="AG14" i="69"/>
  <c r="AA17" i="69"/>
  <c r="AA14" i="69"/>
  <c r="U17" i="69"/>
  <c r="U14" i="69"/>
  <c r="O17" i="69"/>
  <c r="O14" i="69"/>
  <c r="I17" i="69" l="1"/>
  <c r="I14" i="69"/>
  <c r="M41" i="36" l="1"/>
  <c r="W41" i="36" s="1"/>
  <c r="AG41" i="36" s="1"/>
  <c r="AQ41" i="36" s="1"/>
  <c r="M40" i="36"/>
  <c r="W40" i="36" s="1"/>
  <c r="AG40" i="36" s="1"/>
  <c r="AQ40" i="36" s="1"/>
  <c r="M39" i="36"/>
  <c r="W39" i="36" s="1"/>
  <c r="AG39" i="36" s="1"/>
  <c r="AQ39" i="36" s="1"/>
  <c r="M38" i="36"/>
  <c r="W38" i="36" s="1"/>
  <c r="AG38" i="36" s="1"/>
  <c r="AQ38" i="36" s="1"/>
  <c r="M37" i="36"/>
  <c r="W37" i="36" s="1"/>
  <c r="AG37" i="36" s="1"/>
  <c r="AQ37" i="36" s="1"/>
  <c r="M36" i="36"/>
  <c r="W36" i="36" s="1"/>
  <c r="AG36" i="36" s="1"/>
  <c r="AQ36" i="36" s="1"/>
  <c r="M35" i="36"/>
  <c r="W35" i="36" s="1"/>
  <c r="AG35" i="36" s="1"/>
  <c r="AQ35" i="36" s="1"/>
  <c r="M34" i="36"/>
  <c r="W34" i="36" s="1"/>
  <c r="AG34" i="36" s="1"/>
  <c r="AQ34" i="36" s="1"/>
  <c r="M33" i="36"/>
  <c r="W33" i="36" s="1"/>
  <c r="AG33" i="36" s="1"/>
  <c r="AQ33" i="36" s="1"/>
  <c r="M32" i="36"/>
  <c r="W32" i="36" s="1"/>
  <c r="AG32" i="36" s="1"/>
  <c r="AQ32" i="36" s="1"/>
  <c r="M31" i="36"/>
  <c r="W31" i="36" s="1"/>
  <c r="AG31" i="36" s="1"/>
  <c r="AQ31" i="36" s="1"/>
  <c r="M30" i="36"/>
  <c r="W30" i="36" s="1"/>
  <c r="AG30" i="36" s="1"/>
  <c r="AQ30" i="36" s="1"/>
  <c r="M29" i="36"/>
  <c r="W29" i="36" s="1"/>
  <c r="AG29" i="36" s="1"/>
  <c r="AQ29" i="36" s="1"/>
  <c r="M28" i="36"/>
  <c r="W28" i="36" s="1"/>
  <c r="AG28" i="36" s="1"/>
  <c r="AQ28" i="36" s="1"/>
  <c r="M27" i="36"/>
  <c r="W27" i="36" s="1"/>
  <c r="AG27" i="36" s="1"/>
  <c r="AQ27" i="36" s="1"/>
  <c r="M26" i="36"/>
  <c r="W26" i="36" s="1"/>
  <c r="AG26" i="36" s="1"/>
  <c r="AQ26" i="36" s="1"/>
  <c r="M25" i="36"/>
  <c r="W25" i="36" s="1"/>
  <c r="AG25" i="36" s="1"/>
  <c r="AQ25" i="36" s="1"/>
  <c r="M24" i="36"/>
  <c r="W24" i="36" s="1"/>
  <c r="AG24" i="36" s="1"/>
  <c r="AQ24" i="36" s="1"/>
  <c r="M23" i="36"/>
  <c r="W23" i="36" s="1"/>
  <c r="AG23" i="36" s="1"/>
  <c r="AQ23" i="36" s="1"/>
  <c r="M22" i="36"/>
  <c r="W22" i="36" s="1"/>
  <c r="AG22" i="36" s="1"/>
  <c r="AQ22" i="36" s="1"/>
  <c r="M21" i="36"/>
  <c r="W21" i="36" s="1"/>
  <c r="AG21" i="36" s="1"/>
  <c r="AQ21" i="36" s="1"/>
  <c r="M20" i="36"/>
  <c r="W20" i="36" s="1"/>
  <c r="AG20" i="36" s="1"/>
  <c r="AQ20" i="36" s="1"/>
  <c r="M19" i="36"/>
  <c r="W19" i="36" s="1"/>
  <c r="AG19" i="36" s="1"/>
  <c r="AQ19" i="36" s="1"/>
  <c r="M18" i="36"/>
  <c r="W18" i="36" s="1"/>
  <c r="AG18" i="36" s="1"/>
  <c r="AQ18" i="36" s="1"/>
  <c r="M17" i="36"/>
  <c r="W17" i="36" s="1"/>
  <c r="AG17" i="36" s="1"/>
  <c r="AQ17" i="36" s="1"/>
  <c r="M16" i="36"/>
  <c r="W16" i="36" s="1"/>
  <c r="AG16" i="36" s="1"/>
  <c r="AQ16" i="36" s="1"/>
  <c r="M15" i="36"/>
  <c r="W15" i="36" s="1"/>
  <c r="AG15" i="36" s="1"/>
  <c r="AQ15" i="36" s="1"/>
  <c r="M14" i="36"/>
  <c r="W14" i="36" s="1"/>
  <c r="AG14" i="36" s="1"/>
  <c r="AQ14" i="36" s="1"/>
  <c r="M13" i="36"/>
  <c r="W13" i="36" s="1"/>
  <c r="AG13" i="36" s="1"/>
  <c r="AQ13" i="36" s="1"/>
  <c r="M12" i="36"/>
  <c r="W12" i="36" s="1"/>
  <c r="AG12" i="36" s="1"/>
  <c r="AQ12" i="36" s="1"/>
  <c r="M11" i="36"/>
  <c r="W11" i="36" s="1"/>
  <c r="AG11" i="36" s="1"/>
  <c r="AQ11" i="36" s="1"/>
  <c r="M10" i="36"/>
  <c r="W10" i="36" s="1"/>
  <c r="AG10" i="36" s="1"/>
  <c r="AQ10" i="36" s="1"/>
  <c r="M9" i="36"/>
  <c r="W9" i="36" s="1"/>
  <c r="AG9" i="36" s="1"/>
  <c r="AQ9" i="36" s="1"/>
  <c r="M8" i="36"/>
  <c r="W8" i="36" s="1"/>
  <c r="AG8" i="36" s="1"/>
  <c r="AQ8" i="36" s="1"/>
  <c r="M7" i="36"/>
  <c r="W7" i="36" s="1"/>
  <c r="AG7" i="36" s="1"/>
  <c r="AQ7" i="36" s="1"/>
  <c r="M6" i="36"/>
  <c r="W6" i="36" s="1"/>
  <c r="AG6" i="36" s="1"/>
  <c r="AQ6" i="36" s="1"/>
  <c r="M5" i="36"/>
  <c r="W5" i="36" s="1"/>
  <c r="AG5" i="36" s="1"/>
  <c r="AQ5" i="36" s="1"/>
  <c r="M4" i="36"/>
  <c r="W4" i="36" s="1"/>
  <c r="AG4" i="36" s="1"/>
  <c r="AQ4" i="36" s="1"/>
  <c r="M3" i="36"/>
  <c r="W3" i="36" s="1"/>
  <c r="AG3" i="36" s="1"/>
  <c r="AQ3" i="36" s="1"/>
  <c r="T61" i="69" l="1"/>
  <c r="Z61" i="69"/>
  <c r="AL61" i="69"/>
  <c r="AF61" i="69"/>
  <c r="T57" i="69"/>
  <c r="Z57" i="69"/>
  <c r="AF57" i="69"/>
  <c r="AL57" i="69"/>
  <c r="Z43" i="69" l="1"/>
  <c r="AL43" i="69"/>
  <c r="AF43" i="69"/>
  <c r="T43" i="69"/>
  <c r="N43" i="69"/>
  <c r="AL37" i="69"/>
  <c r="AF37" i="69"/>
  <c r="Z37" i="69"/>
  <c r="T37" i="69"/>
  <c r="N37" i="69"/>
  <c r="AF31" i="69" l="1"/>
  <c r="T31" i="69"/>
  <c r="T30" i="69"/>
  <c r="AL28" i="69"/>
  <c r="AF28" i="69"/>
  <c r="Z28" i="69"/>
  <c r="G3" i="38"/>
  <c r="H3" i="38" s="1"/>
  <c r="I3" i="38" s="1"/>
  <c r="J3" i="38" s="1"/>
  <c r="N3" i="38"/>
  <c r="O3" i="38" s="1"/>
  <c r="P3" i="38" s="1"/>
  <c r="Q3" i="38" s="1"/>
  <c r="AK41" i="36"/>
  <c r="AU41" i="36" s="1"/>
  <c r="AK40" i="36"/>
  <c r="AU40" i="36" s="1"/>
  <c r="AT40" i="36" s="1"/>
  <c r="AK39" i="36"/>
  <c r="AU39" i="36" s="1"/>
  <c r="AK38" i="36"/>
  <c r="AU38" i="36" s="1"/>
  <c r="AK37" i="36"/>
  <c r="AJ37" i="36" s="1"/>
  <c r="AK36" i="36"/>
  <c r="AU36" i="36" s="1"/>
  <c r="AK35" i="36"/>
  <c r="AJ35" i="36" s="1"/>
  <c r="AK34" i="36"/>
  <c r="AU34" i="36" s="1"/>
  <c r="AK33" i="36"/>
  <c r="AU33" i="36" s="1"/>
  <c r="AK32" i="36"/>
  <c r="AU32" i="36" s="1"/>
  <c r="AK31" i="36"/>
  <c r="AU31" i="36" s="1"/>
  <c r="AK30" i="36"/>
  <c r="AU30" i="36" s="1"/>
  <c r="AK29" i="36"/>
  <c r="AU29" i="36" s="1"/>
  <c r="AK28" i="36"/>
  <c r="AU28" i="36" s="1"/>
  <c r="AK27" i="36"/>
  <c r="AU27" i="36" s="1"/>
  <c r="AK26" i="36"/>
  <c r="AU26" i="36" s="1"/>
  <c r="AK25" i="36"/>
  <c r="AJ25" i="36" s="1"/>
  <c r="AK24" i="36"/>
  <c r="AJ24" i="36" s="1"/>
  <c r="AK23" i="36"/>
  <c r="AJ23" i="36" s="1"/>
  <c r="AK22" i="36"/>
  <c r="AU22" i="36" s="1"/>
  <c r="AK21" i="36"/>
  <c r="AU21" i="36" s="1"/>
  <c r="AK20" i="36"/>
  <c r="AU20" i="36" s="1"/>
  <c r="AK19" i="36"/>
  <c r="AU19" i="36" s="1"/>
  <c r="AK18" i="36"/>
  <c r="AJ18" i="36" s="1"/>
  <c r="AK17" i="36"/>
  <c r="AU17" i="36" s="1"/>
  <c r="AK16" i="36"/>
  <c r="AU16" i="36" s="1"/>
  <c r="AK15" i="36"/>
  <c r="AU15" i="36" s="1"/>
  <c r="AK14" i="36"/>
  <c r="AU14" i="36" s="1"/>
  <c r="AK13" i="36"/>
  <c r="AJ13" i="36" s="1"/>
  <c r="AK12" i="36"/>
  <c r="AJ12" i="36" s="1"/>
  <c r="AK11" i="36"/>
  <c r="AJ11" i="36" s="1"/>
  <c r="AK10" i="36"/>
  <c r="AJ10" i="36" s="1"/>
  <c r="AK9" i="36"/>
  <c r="AJ9" i="36" s="1"/>
  <c r="AK8" i="36"/>
  <c r="AU8" i="36" s="1"/>
  <c r="AK7" i="36"/>
  <c r="AU7" i="36" s="1"/>
  <c r="AK6" i="36"/>
  <c r="AU6" i="36" s="1"/>
  <c r="AK5" i="36"/>
  <c r="AJ5" i="36" s="1"/>
  <c r="AK4" i="36"/>
  <c r="AJ4" i="36" s="1"/>
  <c r="Z40" i="36"/>
  <c r="Z37" i="36"/>
  <c r="Z35" i="36"/>
  <c r="Z25" i="36"/>
  <c r="Z24" i="36"/>
  <c r="Z23" i="36"/>
  <c r="Z18" i="36"/>
  <c r="Z10" i="36"/>
  <c r="Z11" i="36"/>
  <c r="Z12" i="36"/>
  <c r="Z13" i="36"/>
  <c r="Z9" i="36"/>
  <c r="Z5" i="36"/>
  <c r="Z4" i="36"/>
  <c r="O40" i="36"/>
  <c r="O37" i="36"/>
  <c r="O35" i="36"/>
  <c r="O25" i="36"/>
  <c r="O24" i="36"/>
  <c r="O23" i="36"/>
  <c r="O18" i="36"/>
  <c r="O10" i="36"/>
  <c r="O11" i="36"/>
  <c r="O12" i="36"/>
  <c r="O13" i="36"/>
  <c r="O9" i="36"/>
  <c r="O5" i="36"/>
  <c r="O4" i="36"/>
  <c r="S4" i="36"/>
  <c r="L41" i="36"/>
  <c r="AU24" i="36" l="1"/>
  <c r="AT24" i="36" s="1"/>
  <c r="AU4" i="36"/>
  <c r="AT4" i="36" s="1"/>
  <c r="AU12" i="36"/>
  <c r="AT12" i="36" s="1"/>
  <c r="AU9" i="36"/>
  <c r="AT9" i="36" s="1"/>
  <c r="AU25" i="36"/>
  <c r="AT25" i="36" s="1"/>
  <c r="AU5" i="36"/>
  <c r="AT5" i="36" s="1"/>
  <c r="AU13" i="36"/>
  <c r="AT13" i="36" s="1"/>
  <c r="AU37" i="36"/>
  <c r="AT37" i="36" s="1"/>
  <c r="AU10" i="36"/>
  <c r="AT10" i="36" s="1"/>
  <c r="AU18" i="36"/>
  <c r="AT18" i="36" s="1"/>
  <c r="AU11" i="36"/>
  <c r="AT11" i="36" s="1"/>
  <c r="AU23" i="36"/>
  <c r="AT23" i="36" s="1"/>
  <c r="AU35" i="36"/>
  <c r="AT35" i="36" s="1"/>
  <c r="AL165" i="69"/>
  <c r="AL166" i="69"/>
  <c r="AL167" i="69"/>
  <c r="AL168" i="69"/>
  <c r="AL169" i="69"/>
  <c r="AL170" i="69"/>
  <c r="AL171" i="69"/>
  <c r="AF165" i="69"/>
  <c r="AF166" i="69"/>
  <c r="AF167" i="69"/>
  <c r="AF168" i="69"/>
  <c r="AF169" i="69"/>
  <c r="AF170" i="69"/>
  <c r="AF171" i="69"/>
  <c r="Z165" i="69"/>
  <c r="Z166" i="69"/>
  <c r="Z167" i="69"/>
  <c r="Z168" i="69"/>
  <c r="Z169" i="69"/>
  <c r="Z170" i="69"/>
  <c r="Z171" i="69"/>
  <c r="T165" i="69"/>
  <c r="T166" i="69"/>
  <c r="T167" i="69"/>
  <c r="T168" i="69"/>
  <c r="T169" i="69"/>
  <c r="T170" i="69"/>
  <c r="T171" i="69"/>
  <c r="AV3" i="38" l="1"/>
  <c r="AO3" i="38"/>
  <c r="AH3" i="38"/>
  <c r="AA3" i="38"/>
  <c r="S31" i="36"/>
  <c r="AC31" i="36" s="1"/>
  <c r="AM31" i="36" s="1"/>
  <c r="AW31" i="36" s="1"/>
  <c r="S32" i="36"/>
  <c r="AC32" i="36" s="1"/>
  <c r="AM32" i="36" s="1"/>
  <c r="AW32" i="36" s="1"/>
  <c r="S33" i="36"/>
  <c r="AC33" i="36" s="1"/>
  <c r="AM33" i="36" s="1"/>
  <c r="AW33" i="36" s="1"/>
  <c r="S34" i="36"/>
  <c r="AC34" i="36" s="1"/>
  <c r="AM34" i="36" s="1"/>
  <c r="AW34" i="36" s="1"/>
  <c r="S35" i="36"/>
  <c r="AC35" i="36" s="1"/>
  <c r="AM35" i="36" s="1"/>
  <c r="AW35" i="36" s="1"/>
  <c r="S36" i="36"/>
  <c r="AC36" i="36" s="1"/>
  <c r="AM36" i="36" s="1"/>
  <c r="AW36" i="36" s="1"/>
  <c r="S37" i="36"/>
  <c r="AC37" i="36" s="1"/>
  <c r="AM37" i="36" s="1"/>
  <c r="AW37" i="36" s="1"/>
  <c r="S38" i="36"/>
  <c r="AC38" i="36" s="1"/>
  <c r="AM38" i="36" s="1"/>
  <c r="AW38" i="36" s="1"/>
  <c r="S39" i="36"/>
  <c r="AC39" i="36" s="1"/>
  <c r="AM39" i="36" s="1"/>
  <c r="AW39" i="36" s="1"/>
  <c r="S40" i="36"/>
  <c r="AC40" i="36" s="1"/>
  <c r="AM40" i="36" s="1"/>
  <c r="AW40" i="36" s="1"/>
  <c r="S41" i="36"/>
  <c r="AC41" i="36" s="1"/>
  <c r="AM41" i="36" s="1"/>
  <c r="AW41" i="36" s="1"/>
  <c r="R31" i="36"/>
  <c r="AB31" i="36" s="1"/>
  <c r="AL31" i="36" s="1"/>
  <c r="AV31" i="36" s="1"/>
  <c r="R32" i="36"/>
  <c r="AB32" i="36" s="1"/>
  <c r="AL32" i="36" s="1"/>
  <c r="AV32" i="36" s="1"/>
  <c r="R33" i="36"/>
  <c r="AB33" i="36" s="1"/>
  <c r="AL33" i="36" s="1"/>
  <c r="AV33" i="36" s="1"/>
  <c r="R34" i="36"/>
  <c r="AB34" i="36" s="1"/>
  <c r="AL34" i="36" s="1"/>
  <c r="AV34" i="36" s="1"/>
  <c r="R35" i="36"/>
  <c r="AB35" i="36" s="1"/>
  <c r="AL35" i="36" s="1"/>
  <c r="AV35" i="36" s="1"/>
  <c r="R36" i="36"/>
  <c r="AB36" i="36" s="1"/>
  <c r="AL36" i="36" s="1"/>
  <c r="AV36" i="36" s="1"/>
  <c r="R37" i="36"/>
  <c r="AB37" i="36" s="1"/>
  <c r="AL37" i="36" s="1"/>
  <c r="AV37" i="36" s="1"/>
  <c r="R38" i="36"/>
  <c r="AB38" i="36" s="1"/>
  <c r="AL38" i="36" s="1"/>
  <c r="AV38" i="36" s="1"/>
  <c r="R39" i="36"/>
  <c r="AB39" i="36" s="1"/>
  <c r="AL39" i="36" s="1"/>
  <c r="AV39" i="36" s="1"/>
  <c r="R40" i="36"/>
  <c r="AB40" i="36" s="1"/>
  <c r="AL40" i="36" s="1"/>
  <c r="AV40" i="36" s="1"/>
  <c r="R41" i="36"/>
  <c r="AB41" i="36" s="1"/>
  <c r="AL41" i="36" s="1"/>
  <c r="AV41" i="36" s="1"/>
  <c r="Q31" i="36"/>
  <c r="Y31" i="36" s="1"/>
  <c r="AI31" i="36" s="1"/>
  <c r="AS31" i="36" s="1"/>
  <c r="Q32" i="36"/>
  <c r="Y32" i="36" s="1"/>
  <c r="AI32" i="36" s="1"/>
  <c r="AS32" i="36" s="1"/>
  <c r="Q33" i="36"/>
  <c r="Y33" i="36" s="1"/>
  <c r="AI33" i="36" s="1"/>
  <c r="AS33" i="36" s="1"/>
  <c r="Q34" i="36"/>
  <c r="Y34" i="36" s="1"/>
  <c r="AI34" i="36" s="1"/>
  <c r="AS34" i="36" s="1"/>
  <c r="Q35" i="36"/>
  <c r="Y35" i="36" s="1"/>
  <c r="AI35" i="36" s="1"/>
  <c r="AS35" i="36" s="1"/>
  <c r="Q36" i="36"/>
  <c r="Y36" i="36" s="1"/>
  <c r="AI36" i="36" s="1"/>
  <c r="AS36" i="36" s="1"/>
  <c r="Q37" i="36"/>
  <c r="Y37" i="36" s="1"/>
  <c r="AI37" i="36" s="1"/>
  <c r="AS37" i="36" s="1"/>
  <c r="Q38" i="36"/>
  <c r="Y38" i="36" s="1"/>
  <c r="AI38" i="36" s="1"/>
  <c r="AS38" i="36" s="1"/>
  <c r="Q39" i="36"/>
  <c r="Y39" i="36" s="1"/>
  <c r="AI39" i="36" s="1"/>
  <c r="AS39" i="36" s="1"/>
  <c r="Q40" i="36"/>
  <c r="Y40" i="36" s="1"/>
  <c r="AI40" i="36" s="1"/>
  <c r="AS40" i="36" s="1"/>
  <c r="Q41" i="36"/>
  <c r="Y41" i="36" s="1"/>
  <c r="AI41" i="36" s="1"/>
  <c r="AS41" i="36" s="1"/>
  <c r="N31" i="36"/>
  <c r="X31" i="36" s="1"/>
  <c r="AH31" i="36" s="1"/>
  <c r="AR31" i="36" s="1"/>
  <c r="N32" i="36"/>
  <c r="X32" i="36" s="1"/>
  <c r="AH32" i="36" s="1"/>
  <c r="AR32" i="36" s="1"/>
  <c r="N33" i="36"/>
  <c r="X33" i="36" s="1"/>
  <c r="AH33" i="36" s="1"/>
  <c r="AR33" i="36" s="1"/>
  <c r="N34" i="36"/>
  <c r="X34" i="36" s="1"/>
  <c r="AH34" i="36" s="1"/>
  <c r="AR34" i="36" s="1"/>
  <c r="N35" i="36"/>
  <c r="X35" i="36" s="1"/>
  <c r="AH35" i="36" s="1"/>
  <c r="AR35" i="36" s="1"/>
  <c r="N36" i="36"/>
  <c r="X36" i="36" s="1"/>
  <c r="AH36" i="36" s="1"/>
  <c r="AR36" i="36" s="1"/>
  <c r="N37" i="36"/>
  <c r="X37" i="36" s="1"/>
  <c r="AH37" i="36" s="1"/>
  <c r="AR37" i="36" s="1"/>
  <c r="N38" i="36"/>
  <c r="X38" i="36" s="1"/>
  <c r="AH38" i="36" s="1"/>
  <c r="AR38" i="36" s="1"/>
  <c r="N39" i="36"/>
  <c r="X39" i="36" s="1"/>
  <c r="AH39" i="36" s="1"/>
  <c r="AR39" i="36" s="1"/>
  <c r="N40" i="36"/>
  <c r="X40" i="36" s="1"/>
  <c r="AH40" i="36" s="1"/>
  <c r="AR40" i="36" s="1"/>
  <c r="N41" i="36"/>
  <c r="X41" i="36" s="1"/>
  <c r="AH41" i="36" s="1"/>
  <c r="AR41" i="36" s="1"/>
  <c r="L31" i="36"/>
  <c r="T31" i="36" s="1"/>
  <c r="L32" i="36"/>
  <c r="T32" i="36" s="1"/>
  <c r="L33" i="36"/>
  <c r="V33" i="36" s="1"/>
  <c r="L34" i="36"/>
  <c r="U34" i="36" s="1"/>
  <c r="L35" i="36"/>
  <c r="T35" i="36" s="1"/>
  <c r="L36" i="36"/>
  <c r="T36" i="36" s="1"/>
  <c r="L37" i="36"/>
  <c r="V37" i="36" s="1"/>
  <c r="L38" i="36"/>
  <c r="U38" i="36" s="1"/>
  <c r="L39" i="36"/>
  <c r="T39" i="36" s="1"/>
  <c r="L40" i="36"/>
  <c r="T40" i="36" s="1"/>
  <c r="V41" i="36"/>
  <c r="K31" i="36"/>
  <c r="K32" i="36"/>
  <c r="K33" i="36"/>
  <c r="K34" i="36"/>
  <c r="K35" i="36"/>
  <c r="K36" i="36"/>
  <c r="K37" i="36"/>
  <c r="K38" i="36"/>
  <c r="K39" i="36"/>
  <c r="K40" i="36"/>
  <c r="K41" i="36"/>
  <c r="C31" i="38"/>
  <c r="C32" i="38"/>
  <c r="C33" i="38"/>
  <c r="C34" i="38"/>
  <c r="C35" i="38"/>
  <c r="C36" i="38"/>
  <c r="C37" i="38"/>
  <c r="C38" i="38"/>
  <c r="C39" i="38"/>
  <c r="C40" i="38"/>
  <c r="C41" i="38"/>
  <c r="B31" i="38"/>
  <c r="B32" i="38"/>
  <c r="B33" i="38"/>
  <c r="B34" i="38"/>
  <c r="B35" i="38"/>
  <c r="B36" i="38"/>
  <c r="B37" i="38"/>
  <c r="B38" i="38"/>
  <c r="B39" i="38"/>
  <c r="B40" i="38"/>
  <c r="B41" i="38"/>
  <c r="U37" i="36" l="1"/>
  <c r="V32" i="36"/>
  <c r="AE32" i="36" s="1"/>
  <c r="T38" i="36"/>
  <c r="U33" i="36"/>
  <c r="T34" i="36"/>
  <c r="V40" i="36"/>
  <c r="AF40" i="36" s="1"/>
  <c r="AP40" i="36" s="1"/>
  <c r="U41" i="36"/>
  <c r="V36" i="36"/>
  <c r="AE36" i="36" s="1"/>
  <c r="AD37" i="36"/>
  <c r="AE37" i="36"/>
  <c r="AF37" i="36"/>
  <c r="AN37" i="36" s="1"/>
  <c r="AD41" i="36"/>
  <c r="AE41" i="36"/>
  <c r="AF41" i="36"/>
  <c r="AN41" i="36" s="1"/>
  <c r="AF33" i="36"/>
  <c r="AN33" i="36" s="1"/>
  <c r="AE33" i="36"/>
  <c r="AD33" i="36"/>
  <c r="T41" i="36"/>
  <c r="T37" i="36"/>
  <c r="T33" i="36"/>
  <c r="U40" i="36"/>
  <c r="U36" i="36"/>
  <c r="U32" i="36"/>
  <c r="V39" i="36"/>
  <c r="V35" i="36"/>
  <c r="V31" i="36"/>
  <c r="U39" i="36"/>
  <c r="U35" i="36"/>
  <c r="U31" i="36"/>
  <c r="V38" i="36"/>
  <c r="V34" i="36"/>
  <c r="C33" i="75"/>
  <c r="C32" i="75"/>
  <c r="C31" i="75"/>
  <c r="C30" i="75"/>
  <c r="C29" i="75"/>
  <c r="C28" i="75"/>
  <c r="C27" i="75"/>
  <c r="C26" i="75"/>
  <c r="C25" i="75"/>
  <c r="C24" i="75"/>
  <c r="C23" i="75"/>
  <c r="C22" i="75"/>
  <c r="C21" i="75"/>
  <c r="C20" i="75"/>
  <c r="C19" i="75"/>
  <c r="C18" i="75"/>
  <c r="C17" i="75"/>
  <c r="C16" i="75"/>
  <c r="C15" i="75"/>
  <c r="C14" i="75"/>
  <c r="C13" i="75"/>
  <c r="C12" i="75"/>
  <c r="C11" i="75"/>
  <c r="C10" i="75"/>
  <c r="C9" i="75"/>
  <c r="C8" i="75"/>
  <c r="C7" i="75"/>
  <c r="C6" i="75"/>
  <c r="C5" i="75"/>
  <c r="C4" i="75"/>
  <c r="D3" i="75"/>
  <c r="E3" i="75" s="1"/>
  <c r="P33" i="55"/>
  <c r="O33" i="55"/>
  <c r="AH33" i="75" s="1"/>
  <c r="N33" i="55"/>
  <c r="M33" i="55"/>
  <c r="J33" i="55"/>
  <c r="G33" i="55"/>
  <c r="C33" i="55"/>
  <c r="P32" i="55"/>
  <c r="O32" i="55"/>
  <c r="AH32" i="75" s="1"/>
  <c r="N32" i="55"/>
  <c r="AC32" i="75" s="1"/>
  <c r="M32" i="55"/>
  <c r="J32" i="55"/>
  <c r="G32" i="55"/>
  <c r="C32" i="55"/>
  <c r="P31" i="55"/>
  <c r="O31" i="55"/>
  <c r="AH31" i="75" s="1"/>
  <c r="N31" i="55"/>
  <c r="AC31" i="75" s="1"/>
  <c r="M31" i="55"/>
  <c r="J31" i="55"/>
  <c r="G31" i="55"/>
  <c r="C31" i="55"/>
  <c r="P30" i="55"/>
  <c r="O30" i="55"/>
  <c r="AH30" i="75" s="1"/>
  <c r="N30" i="55"/>
  <c r="AC30" i="75" s="1"/>
  <c r="M30" i="55"/>
  <c r="J30" i="55"/>
  <c r="G30" i="55"/>
  <c r="C30" i="55"/>
  <c r="P29" i="55"/>
  <c r="O29" i="55"/>
  <c r="AH29" i="75" s="1"/>
  <c r="N29" i="55"/>
  <c r="AC29" i="75" s="1"/>
  <c r="M29" i="55"/>
  <c r="J29" i="55"/>
  <c r="G29" i="55"/>
  <c r="C29" i="55"/>
  <c r="P28" i="55"/>
  <c r="O28" i="55"/>
  <c r="AH28" i="75" s="1"/>
  <c r="N28" i="55"/>
  <c r="AC28" i="75" s="1"/>
  <c r="M28" i="55"/>
  <c r="J28" i="55"/>
  <c r="G28" i="55"/>
  <c r="C28" i="55"/>
  <c r="P27" i="55"/>
  <c r="O27" i="55"/>
  <c r="AH27" i="75" s="1"/>
  <c r="N27" i="55"/>
  <c r="AC27" i="75" s="1"/>
  <c r="M27" i="55"/>
  <c r="J27" i="55"/>
  <c r="G27" i="55"/>
  <c r="C27" i="55"/>
  <c r="P26" i="55"/>
  <c r="O26" i="55"/>
  <c r="AH26" i="75" s="1"/>
  <c r="N26" i="55"/>
  <c r="AC26" i="75" s="1"/>
  <c r="M26" i="55"/>
  <c r="J26" i="55"/>
  <c r="G26" i="55"/>
  <c r="C26" i="55"/>
  <c r="P25" i="55"/>
  <c r="O25" i="55"/>
  <c r="AH25" i="75" s="1"/>
  <c r="N25" i="55"/>
  <c r="AC25" i="75" s="1"/>
  <c r="M25" i="55"/>
  <c r="J25" i="55"/>
  <c r="G25" i="55"/>
  <c r="C25" i="55"/>
  <c r="P24" i="55"/>
  <c r="O24" i="55"/>
  <c r="AH24" i="75" s="1"/>
  <c r="N24" i="55"/>
  <c r="AC24" i="75" s="1"/>
  <c r="M24" i="55"/>
  <c r="J24" i="55"/>
  <c r="G24" i="55"/>
  <c r="C24" i="55"/>
  <c r="P23" i="55"/>
  <c r="O23" i="55"/>
  <c r="AH23" i="75" s="1"/>
  <c r="N23" i="55"/>
  <c r="AC23" i="75" s="1"/>
  <c r="M23" i="55"/>
  <c r="J23" i="55"/>
  <c r="G23" i="55"/>
  <c r="C23" i="55"/>
  <c r="P22" i="55"/>
  <c r="O22" i="55"/>
  <c r="AH22" i="75" s="1"/>
  <c r="N22" i="55"/>
  <c r="AC22" i="75" s="1"/>
  <c r="M22" i="55"/>
  <c r="J22" i="55"/>
  <c r="G22" i="55"/>
  <c r="C22" i="55"/>
  <c r="P21" i="55"/>
  <c r="O21" i="55"/>
  <c r="AH21" i="75" s="1"/>
  <c r="N21" i="55"/>
  <c r="AC21" i="75" s="1"/>
  <c r="M21" i="55"/>
  <c r="J21" i="55"/>
  <c r="G21" i="55"/>
  <c r="C21" i="55"/>
  <c r="P20" i="55"/>
  <c r="O20" i="55"/>
  <c r="AH20" i="75" s="1"/>
  <c r="N20" i="55"/>
  <c r="AC20" i="75" s="1"/>
  <c r="M20" i="55"/>
  <c r="J20" i="55"/>
  <c r="G20" i="55"/>
  <c r="C20" i="55"/>
  <c r="P19" i="55"/>
  <c r="O19" i="55"/>
  <c r="AH19" i="75" s="1"/>
  <c r="N19" i="55"/>
  <c r="AC19" i="75" s="1"/>
  <c r="M19" i="55"/>
  <c r="J19" i="55"/>
  <c r="G19" i="55"/>
  <c r="C19" i="55"/>
  <c r="P18" i="55"/>
  <c r="O18" i="55"/>
  <c r="AH18" i="75" s="1"/>
  <c r="N18" i="55"/>
  <c r="AC18" i="75" s="1"/>
  <c r="M18" i="55"/>
  <c r="J18" i="55"/>
  <c r="G18" i="55"/>
  <c r="C18" i="55"/>
  <c r="P17" i="55"/>
  <c r="O17" i="55"/>
  <c r="AH17" i="75" s="1"/>
  <c r="N17" i="55"/>
  <c r="AC17" i="75" s="1"/>
  <c r="M17" i="55"/>
  <c r="J17" i="55"/>
  <c r="G17" i="55"/>
  <c r="C17" i="55"/>
  <c r="P16" i="55"/>
  <c r="O16" i="55"/>
  <c r="AH16" i="75" s="1"/>
  <c r="N16" i="55"/>
  <c r="AC16" i="75" s="1"/>
  <c r="M16" i="55"/>
  <c r="J16" i="55"/>
  <c r="G16" i="55"/>
  <c r="C16" i="55"/>
  <c r="P15" i="55"/>
  <c r="O15" i="55"/>
  <c r="AH15" i="75" s="1"/>
  <c r="N15" i="55"/>
  <c r="AC15" i="75" s="1"/>
  <c r="M15" i="55"/>
  <c r="J15" i="55"/>
  <c r="G15" i="55"/>
  <c r="C15" i="55"/>
  <c r="P14" i="55"/>
  <c r="O14" i="55"/>
  <c r="AH14" i="75" s="1"/>
  <c r="N14" i="55"/>
  <c r="M14" i="55"/>
  <c r="J14" i="55"/>
  <c r="G14" i="55"/>
  <c r="C14" i="55"/>
  <c r="P13" i="55"/>
  <c r="O13" i="55"/>
  <c r="AH13" i="75" s="1"/>
  <c r="N13" i="55"/>
  <c r="AC13" i="75" s="1"/>
  <c r="M13" i="55"/>
  <c r="J13" i="55"/>
  <c r="G13" i="55"/>
  <c r="C13" i="55"/>
  <c r="P12" i="55"/>
  <c r="O12" i="55"/>
  <c r="AH12" i="75" s="1"/>
  <c r="N12" i="55"/>
  <c r="AC12" i="75" s="1"/>
  <c r="M12" i="55"/>
  <c r="J12" i="55"/>
  <c r="G12" i="55"/>
  <c r="C12" i="55"/>
  <c r="P11" i="55"/>
  <c r="O11" i="55"/>
  <c r="AH11" i="75" s="1"/>
  <c r="N11" i="55"/>
  <c r="AC11" i="75" s="1"/>
  <c r="M11" i="55"/>
  <c r="J11" i="55"/>
  <c r="G11" i="55"/>
  <c r="C11" i="55"/>
  <c r="P10" i="55"/>
  <c r="O10" i="55"/>
  <c r="AH10" i="75" s="1"/>
  <c r="N10" i="55"/>
  <c r="AC10" i="75" s="1"/>
  <c r="M10" i="55"/>
  <c r="J10" i="55"/>
  <c r="G10" i="55"/>
  <c r="C10" i="55"/>
  <c r="P9" i="55"/>
  <c r="O9" i="55"/>
  <c r="AH9" i="75" s="1"/>
  <c r="N9" i="55"/>
  <c r="AC9" i="75" s="1"/>
  <c r="M9" i="55"/>
  <c r="J9" i="55"/>
  <c r="G9" i="55"/>
  <c r="C9" i="55"/>
  <c r="P8" i="55"/>
  <c r="O8" i="55"/>
  <c r="AH8" i="75" s="1"/>
  <c r="N8" i="55"/>
  <c r="AC8" i="75" s="1"/>
  <c r="M8" i="55"/>
  <c r="J8" i="55"/>
  <c r="G8" i="55"/>
  <c r="C8" i="55"/>
  <c r="P7" i="55"/>
  <c r="O7" i="55"/>
  <c r="AH7" i="75" s="1"/>
  <c r="N7" i="55"/>
  <c r="AC7" i="75" s="1"/>
  <c r="M7" i="55"/>
  <c r="J7" i="55"/>
  <c r="G7" i="55"/>
  <c r="C7" i="55"/>
  <c r="P6" i="55"/>
  <c r="O6" i="55"/>
  <c r="AH6" i="75" s="1"/>
  <c r="N6" i="55"/>
  <c r="AC6" i="75" s="1"/>
  <c r="M6" i="55"/>
  <c r="J6" i="55"/>
  <c r="G6" i="55"/>
  <c r="C6" i="55"/>
  <c r="P5" i="55"/>
  <c r="O5" i="55"/>
  <c r="AH5" i="75" s="1"/>
  <c r="N5" i="55"/>
  <c r="AC5" i="75" s="1"/>
  <c r="M5" i="55"/>
  <c r="J5" i="55"/>
  <c r="G5" i="55"/>
  <c r="C5" i="55"/>
  <c r="P4" i="55"/>
  <c r="O4" i="55"/>
  <c r="AH4" i="75" s="1"/>
  <c r="N4" i="55"/>
  <c r="AC4" i="75" s="1"/>
  <c r="M4" i="55"/>
  <c r="J4" i="55"/>
  <c r="G4" i="55"/>
  <c r="C4" i="55"/>
  <c r="D1" i="55"/>
  <c r="S1" i="55" s="1"/>
  <c r="AH1" i="55" s="1"/>
  <c r="AW1" i="55" s="1"/>
  <c r="BL1" i="55" s="1"/>
  <c r="D29" i="74"/>
  <c r="D29" i="79" s="1"/>
  <c r="C29" i="74"/>
  <c r="C29" i="79" s="1"/>
  <c r="D28" i="74"/>
  <c r="D28" i="79" s="1"/>
  <c r="C28" i="74"/>
  <c r="C28" i="79" s="1"/>
  <c r="D27" i="74"/>
  <c r="D27" i="79" s="1"/>
  <c r="C27" i="74"/>
  <c r="C27" i="79" s="1"/>
  <c r="D26" i="74"/>
  <c r="D26" i="79" s="1"/>
  <c r="C26" i="74"/>
  <c r="C26" i="79" s="1"/>
  <c r="D23" i="74"/>
  <c r="D23" i="79" s="1"/>
  <c r="C23" i="74"/>
  <c r="C23" i="79" s="1"/>
  <c r="D22" i="74"/>
  <c r="D22" i="79" s="1"/>
  <c r="C22" i="74"/>
  <c r="C22" i="79" s="1"/>
  <c r="D21" i="74"/>
  <c r="D21" i="79" s="1"/>
  <c r="C21" i="74"/>
  <c r="C21" i="79" s="1"/>
  <c r="D20" i="74"/>
  <c r="C20" i="74"/>
  <c r="C20" i="79" s="1"/>
  <c r="D17" i="74"/>
  <c r="D17" i="79" s="1"/>
  <c r="C17" i="74"/>
  <c r="C17" i="79" s="1"/>
  <c r="D16" i="74"/>
  <c r="D16" i="79" s="1"/>
  <c r="C16" i="74"/>
  <c r="C16" i="79" s="1"/>
  <c r="D15" i="74"/>
  <c r="D15" i="79" s="1"/>
  <c r="C15" i="74"/>
  <c r="C15" i="79" s="1"/>
  <c r="D14" i="74"/>
  <c r="D14" i="79" s="1"/>
  <c r="C14" i="74"/>
  <c r="C14" i="79" s="1"/>
  <c r="D11" i="74"/>
  <c r="D11" i="79" s="1"/>
  <c r="C11" i="74"/>
  <c r="C11" i="79" s="1"/>
  <c r="D10" i="74"/>
  <c r="D10" i="79" s="1"/>
  <c r="C10" i="74"/>
  <c r="C10" i="79" s="1"/>
  <c r="D9" i="74"/>
  <c r="D9" i="79" s="1"/>
  <c r="C9" i="74"/>
  <c r="C9" i="79" s="1"/>
  <c r="D8" i="74"/>
  <c r="D8" i="79" s="1"/>
  <c r="C8" i="74"/>
  <c r="C8" i="79" s="1"/>
  <c r="D7" i="74"/>
  <c r="D7" i="79" s="1"/>
  <c r="C7" i="74"/>
  <c r="C7" i="79" s="1"/>
  <c r="D6" i="74"/>
  <c r="D6" i="79" s="1"/>
  <c r="C6" i="74"/>
  <c r="C6" i="79" s="1"/>
  <c r="D5" i="74"/>
  <c r="D5" i="79" s="1"/>
  <c r="C5" i="74"/>
  <c r="C5" i="79" s="1"/>
  <c r="D4" i="74"/>
  <c r="D4" i="79" s="1"/>
  <c r="C4" i="74"/>
  <c r="C4" i="79" s="1"/>
  <c r="N22" i="49"/>
  <c r="N21" i="49"/>
  <c r="N20" i="49"/>
  <c r="B33" i="1"/>
  <c r="B32" i="1"/>
  <c r="B31" i="1"/>
  <c r="B30" i="1"/>
  <c r="B29" i="1"/>
  <c r="B28" i="1"/>
  <c r="B27" i="1"/>
  <c r="B26" i="1"/>
  <c r="B25" i="1"/>
  <c r="B24" i="1"/>
  <c r="B23" i="1"/>
  <c r="B22" i="1"/>
  <c r="B21" i="1"/>
  <c r="B20" i="1"/>
  <c r="B19" i="1"/>
  <c r="B18" i="1"/>
  <c r="B17" i="1"/>
  <c r="B16" i="1"/>
  <c r="B15" i="1"/>
  <c r="B14" i="1"/>
  <c r="C12" i="1"/>
  <c r="C43" i="1" s="1"/>
  <c r="E8" i="56"/>
  <c r="AU43" i="19"/>
  <c r="AL43" i="19"/>
  <c r="AC43" i="19"/>
  <c r="T43" i="19"/>
  <c r="K43" i="19"/>
  <c r="AT42" i="19"/>
  <c r="AS42" i="19"/>
  <c r="AR42" i="19"/>
  <c r="AQ42" i="19"/>
  <c r="AP42" i="19"/>
  <c r="AO42" i="19"/>
  <c r="AN42" i="19"/>
  <c r="AK42" i="19"/>
  <c r="AJ42" i="19"/>
  <c r="AI42" i="19"/>
  <c r="AH42" i="19"/>
  <c r="AG42" i="19"/>
  <c r="AF42" i="19"/>
  <c r="AE42" i="19"/>
  <c r="AB42" i="19"/>
  <c r="AA42" i="19"/>
  <c r="Z42" i="19"/>
  <c r="Y42" i="19"/>
  <c r="X42" i="19"/>
  <c r="W42" i="19"/>
  <c r="V42" i="19"/>
  <c r="S42" i="19"/>
  <c r="R42" i="19"/>
  <c r="Q42" i="19"/>
  <c r="P42" i="19"/>
  <c r="O42" i="19"/>
  <c r="N42" i="19"/>
  <c r="M42" i="19"/>
  <c r="J42" i="19"/>
  <c r="I42" i="19"/>
  <c r="H42" i="19"/>
  <c r="G42" i="19"/>
  <c r="F42" i="19"/>
  <c r="E42" i="19"/>
  <c r="D42" i="19"/>
  <c r="AT33" i="19"/>
  <c r="AT43" i="19" s="1"/>
  <c r="AS33" i="19"/>
  <c r="AS43" i="19" s="1"/>
  <c r="AR33" i="19"/>
  <c r="AR43" i="19" s="1"/>
  <c r="AQ33" i="19"/>
  <c r="AQ43" i="19" s="1"/>
  <c r="AP33" i="19"/>
  <c r="AP43" i="19" s="1"/>
  <c r="AO33" i="19"/>
  <c r="AO43" i="19" s="1"/>
  <c r="AN33" i="19"/>
  <c r="AN43" i="19" s="1"/>
  <c r="AK33" i="19"/>
  <c r="AK43" i="19" s="1"/>
  <c r="AJ33" i="19"/>
  <c r="AJ43" i="19" s="1"/>
  <c r="AI33" i="19"/>
  <c r="AI43" i="19" s="1"/>
  <c r="AH33" i="19"/>
  <c r="AH43" i="19" s="1"/>
  <c r="AG33" i="19"/>
  <c r="AG43" i="19" s="1"/>
  <c r="AF33" i="19"/>
  <c r="AF43" i="19" s="1"/>
  <c r="AE33" i="19"/>
  <c r="AE43" i="19" s="1"/>
  <c r="AB33" i="19"/>
  <c r="AB43" i="19" s="1"/>
  <c r="AA33" i="19"/>
  <c r="AA43" i="19" s="1"/>
  <c r="Z33" i="19"/>
  <c r="Z43" i="19" s="1"/>
  <c r="Y33" i="19"/>
  <c r="Y43" i="19" s="1"/>
  <c r="X33" i="19"/>
  <c r="X43" i="19" s="1"/>
  <c r="W33" i="19"/>
  <c r="W43" i="19" s="1"/>
  <c r="V33" i="19"/>
  <c r="V43" i="19" s="1"/>
  <c r="S33" i="19"/>
  <c r="S43" i="19" s="1"/>
  <c r="R33" i="19"/>
  <c r="R43" i="19" s="1"/>
  <c r="Q33" i="19"/>
  <c r="Q43" i="19" s="1"/>
  <c r="P33" i="19"/>
  <c r="P43" i="19" s="1"/>
  <c r="O33" i="19"/>
  <c r="O43" i="19" s="1"/>
  <c r="N33" i="19"/>
  <c r="N43" i="19" s="1"/>
  <c r="M33" i="19"/>
  <c r="M43" i="19" s="1"/>
  <c r="J33" i="19"/>
  <c r="J43" i="19" s="1"/>
  <c r="I33" i="19"/>
  <c r="I43" i="19" s="1"/>
  <c r="H33" i="19"/>
  <c r="H43" i="19" s="1"/>
  <c r="G33" i="19"/>
  <c r="G43" i="19" s="1"/>
  <c r="F33" i="19"/>
  <c r="F43" i="19" s="1"/>
  <c r="E33" i="19"/>
  <c r="E43" i="19" s="1"/>
  <c r="D33" i="19"/>
  <c r="D43" i="19" s="1"/>
  <c r="AM29" i="19"/>
  <c r="AU29" i="19" s="1"/>
  <c r="L40" i="1" s="1"/>
  <c r="AD29" i="19"/>
  <c r="U29" i="19"/>
  <c r="AC29" i="19" s="1"/>
  <c r="H40" i="1" s="1"/>
  <c r="L29" i="19"/>
  <c r="C29" i="19"/>
  <c r="K29" i="19" s="1"/>
  <c r="D40" i="1" s="1"/>
  <c r="AT28" i="19"/>
  <c r="AS28" i="19"/>
  <c r="AR28" i="19"/>
  <c r="AQ28" i="19"/>
  <c r="AP28" i="19"/>
  <c r="AO28" i="19"/>
  <c r="AK28" i="19"/>
  <c r="AJ28" i="19"/>
  <c r="AI28" i="19"/>
  <c r="AH28" i="19"/>
  <c r="AG28" i="19"/>
  <c r="AF28" i="19"/>
  <c r="AB28" i="19"/>
  <c r="AA28" i="19"/>
  <c r="Z28" i="19"/>
  <c r="Y28" i="19"/>
  <c r="X28" i="19"/>
  <c r="W28" i="19"/>
  <c r="S28" i="19"/>
  <c r="R28" i="19"/>
  <c r="Q28" i="19"/>
  <c r="P28" i="19"/>
  <c r="O28" i="19"/>
  <c r="N28" i="19"/>
  <c r="J28" i="19"/>
  <c r="I28" i="19"/>
  <c r="H28" i="19"/>
  <c r="G28" i="19"/>
  <c r="F28" i="19"/>
  <c r="E28" i="19"/>
  <c r="AT24" i="19"/>
  <c r="AS24" i="19"/>
  <c r="AS44" i="19" s="1"/>
  <c r="AR24" i="19"/>
  <c r="AQ24" i="19"/>
  <c r="AP24" i="19"/>
  <c r="AO24" i="19"/>
  <c r="AO44" i="19" s="1"/>
  <c r="AN24" i="19"/>
  <c r="AK24" i="19"/>
  <c r="AJ24" i="19"/>
  <c r="AI24" i="19"/>
  <c r="AH24" i="19"/>
  <c r="AG24" i="19"/>
  <c r="AF24" i="19"/>
  <c r="AE24" i="19"/>
  <c r="AB24" i="19"/>
  <c r="AA24" i="19"/>
  <c r="Z24" i="19"/>
  <c r="Y24" i="19"/>
  <c r="X24" i="19"/>
  <c r="W24" i="19"/>
  <c r="V24" i="19"/>
  <c r="S24" i="19"/>
  <c r="R24" i="19"/>
  <c r="Q24" i="19"/>
  <c r="P24" i="19"/>
  <c r="O24" i="19"/>
  <c r="N24" i="19"/>
  <c r="M24" i="19"/>
  <c r="J24" i="19"/>
  <c r="I24" i="19"/>
  <c r="H24" i="19"/>
  <c r="G24" i="19"/>
  <c r="F24" i="19"/>
  <c r="E24" i="19"/>
  <c r="D24" i="19"/>
  <c r="AM23" i="19"/>
  <c r="AU23" i="19" s="1"/>
  <c r="L33" i="1" s="1"/>
  <c r="AD23" i="19"/>
  <c r="U23" i="19"/>
  <c r="L23" i="19"/>
  <c r="C23" i="19"/>
  <c r="K23" i="19" s="1"/>
  <c r="D33" i="1" s="1"/>
  <c r="AM22" i="19"/>
  <c r="AD22" i="19"/>
  <c r="U22" i="19"/>
  <c r="L22" i="19"/>
  <c r="C22" i="19"/>
  <c r="AM21" i="19"/>
  <c r="AD21" i="19"/>
  <c r="AL21" i="19" s="1"/>
  <c r="J31" i="1" s="1"/>
  <c r="U21" i="19"/>
  <c r="L21" i="19"/>
  <c r="T21" i="19" s="1"/>
  <c r="F31" i="1" s="1"/>
  <c r="C21" i="19"/>
  <c r="AM20" i="19"/>
  <c r="AD20" i="19"/>
  <c r="U20" i="19"/>
  <c r="L20" i="19"/>
  <c r="C20" i="19"/>
  <c r="AM19" i="19"/>
  <c r="AU19" i="19" s="1"/>
  <c r="L29" i="1" s="1"/>
  <c r="AD19" i="19"/>
  <c r="U19" i="19"/>
  <c r="L19" i="19"/>
  <c r="C19" i="19"/>
  <c r="K19" i="19" s="1"/>
  <c r="D29" i="1" s="1"/>
  <c r="AM18" i="19"/>
  <c r="AD18" i="19"/>
  <c r="U18" i="19"/>
  <c r="L18" i="19"/>
  <c r="C18" i="19"/>
  <c r="AM17" i="19"/>
  <c r="AD17" i="19"/>
  <c r="AL17" i="19" s="1"/>
  <c r="J27" i="1" s="1"/>
  <c r="U17" i="19"/>
  <c r="L17" i="19"/>
  <c r="T17" i="19" s="1"/>
  <c r="F27" i="1" s="1"/>
  <c r="C17" i="19"/>
  <c r="AM16" i="19"/>
  <c r="AD16" i="19"/>
  <c r="U16" i="19"/>
  <c r="L16" i="19"/>
  <c r="C16" i="19"/>
  <c r="AM15" i="19"/>
  <c r="AU15" i="19" s="1"/>
  <c r="L25" i="1" s="1"/>
  <c r="AD15" i="19"/>
  <c r="U15" i="19"/>
  <c r="L15" i="19"/>
  <c r="C15" i="19"/>
  <c r="K15" i="19" s="1"/>
  <c r="D25" i="1" s="1"/>
  <c r="AM14" i="19"/>
  <c r="AD14" i="19"/>
  <c r="U14" i="19"/>
  <c r="G24" i="1" s="1"/>
  <c r="L14" i="19"/>
  <c r="C14" i="19"/>
  <c r="C24" i="1" s="1"/>
  <c r="AM13" i="19"/>
  <c r="AD13" i="19"/>
  <c r="I23" i="1" s="1"/>
  <c r="U13" i="19"/>
  <c r="G23" i="1" s="1"/>
  <c r="L13" i="19"/>
  <c r="E23" i="1" s="1"/>
  <c r="C13" i="19"/>
  <c r="C23" i="1" s="1"/>
  <c r="AM12" i="19"/>
  <c r="K22" i="1" s="1"/>
  <c r="AD12" i="19"/>
  <c r="U12" i="19"/>
  <c r="G22" i="1" s="1"/>
  <c r="L12" i="19"/>
  <c r="C12" i="19"/>
  <c r="C22" i="1" s="1"/>
  <c r="AM11" i="19"/>
  <c r="AU11" i="19" s="1"/>
  <c r="L21" i="1" s="1"/>
  <c r="AD11" i="19"/>
  <c r="I21" i="1" s="1"/>
  <c r="U11" i="19"/>
  <c r="G21" i="1" s="1"/>
  <c r="L11" i="19"/>
  <c r="E21" i="1" s="1"/>
  <c r="C11" i="19"/>
  <c r="C21" i="1" s="1"/>
  <c r="AM10" i="19"/>
  <c r="K20" i="1" s="1"/>
  <c r="AD10" i="19"/>
  <c r="I20" i="1" s="1"/>
  <c r="U10" i="19"/>
  <c r="G20" i="1" s="1"/>
  <c r="L10" i="19"/>
  <c r="E20" i="1" s="1"/>
  <c r="C10" i="19"/>
  <c r="C20" i="1" s="1"/>
  <c r="AM9" i="19"/>
  <c r="K19" i="1" s="1"/>
  <c r="AD9" i="19"/>
  <c r="I19" i="1" s="1"/>
  <c r="U9" i="19"/>
  <c r="G19" i="1" s="1"/>
  <c r="L9" i="19"/>
  <c r="E19" i="1" s="1"/>
  <c r="C9" i="19"/>
  <c r="C19" i="1" s="1"/>
  <c r="AM8" i="19"/>
  <c r="K18" i="1" s="1"/>
  <c r="AD8" i="19"/>
  <c r="I18" i="1" s="1"/>
  <c r="U8" i="19"/>
  <c r="G18" i="1" s="1"/>
  <c r="L8" i="19"/>
  <c r="E18" i="1" s="1"/>
  <c r="C8" i="19"/>
  <c r="C18" i="1" s="1"/>
  <c r="AM7" i="19"/>
  <c r="AU7" i="19" s="1"/>
  <c r="L17" i="1" s="1"/>
  <c r="AD7" i="19"/>
  <c r="I17" i="1" s="1"/>
  <c r="U7" i="19"/>
  <c r="G17" i="1" s="1"/>
  <c r="L7" i="19"/>
  <c r="E17" i="1" s="1"/>
  <c r="C7" i="19"/>
  <c r="C17" i="1" s="1"/>
  <c r="AM5" i="19"/>
  <c r="K15" i="1" s="1"/>
  <c r="AD5" i="19"/>
  <c r="I15" i="1" s="1"/>
  <c r="U5" i="19"/>
  <c r="G15" i="1" s="1"/>
  <c r="L5" i="19"/>
  <c r="E15" i="1" s="1"/>
  <c r="C5" i="19"/>
  <c r="C15" i="1" s="1"/>
  <c r="AM4" i="19"/>
  <c r="K14" i="1" s="1"/>
  <c r="AD4" i="19"/>
  <c r="I14" i="1" s="1"/>
  <c r="U4" i="19"/>
  <c r="G14" i="1" s="1"/>
  <c r="L4" i="19"/>
  <c r="E14" i="1" s="1"/>
  <c r="C4" i="19"/>
  <c r="C14" i="1" s="1"/>
  <c r="C2" i="19"/>
  <c r="C27" i="19" s="1"/>
  <c r="AL164" i="69"/>
  <c r="AF164" i="69"/>
  <c r="Z164" i="69"/>
  <c r="T164" i="69"/>
  <c r="AL163" i="69"/>
  <c r="AF163" i="69"/>
  <c r="Z163" i="69"/>
  <c r="T163" i="69"/>
  <c r="AL162" i="69"/>
  <c r="AF162" i="69"/>
  <c r="Z162" i="69"/>
  <c r="T162" i="69"/>
  <c r="AL161" i="69"/>
  <c r="AF161" i="69"/>
  <c r="Z161" i="69"/>
  <c r="T161" i="69"/>
  <c r="AL160" i="69"/>
  <c r="AF160" i="69"/>
  <c r="Z160" i="69"/>
  <c r="T160" i="69"/>
  <c r="AL159" i="69"/>
  <c r="AF159" i="69"/>
  <c r="Z159" i="69"/>
  <c r="T159" i="69"/>
  <c r="AL158" i="69"/>
  <c r="AF158" i="69"/>
  <c r="Z158" i="69"/>
  <c r="T158" i="69"/>
  <c r="AL157" i="69"/>
  <c r="AF157" i="69"/>
  <c r="Z157" i="69"/>
  <c r="T157" i="69"/>
  <c r="AL156" i="69"/>
  <c r="AF156" i="69"/>
  <c r="Z156" i="69"/>
  <c r="T156" i="69"/>
  <c r="AL153" i="69"/>
  <c r="AF153" i="69"/>
  <c r="Z153" i="69"/>
  <c r="T153" i="69"/>
  <c r="AL149" i="69"/>
  <c r="AF149" i="69"/>
  <c r="Z149" i="69"/>
  <c r="T149" i="69"/>
  <c r="AL148" i="69"/>
  <c r="AF148" i="69"/>
  <c r="Z148" i="69"/>
  <c r="T148" i="69"/>
  <c r="AL147" i="69"/>
  <c r="AF147" i="69"/>
  <c r="Z147" i="69"/>
  <c r="T147" i="69"/>
  <c r="AL146" i="69"/>
  <c r="AF146" i="69"/>
  <c r="Z146" i="69"/>
  <c r="T146" i="69"/>
  <c r="AL145" i="69"/>
  <c r="AF145" i="69"/>
  <c r="Z145" i="69"/>
  <c r="T145" i="69"/>
  <c r="AL144" i="69"/>
  <c r="AF144" i="69"/>
  <c r="Z144" i="69"/>
  <c r="T144" i="69"/>
  <c r="AL143" i="69"/>
  <c r="AF143" i="69"/>
  <c r="Z143" i="69"/>
  <c r="T143" i="69"/>
  <c r="AL137" i="69"/>
  <c r="AF137" i="69"/>
  <c r="Z137" i="69"/>
  <c r="T137" i="69"/>
  <c r="AL134" i="69"/>
  <c r="AF134" i="69"/>
  <c r="Z134" i="69"/>
  <c r="T134" i="69"/>
  <c r="N129" i="69"/>
  <c r="AL125" i="69"/>
  <c r="AF125" i="69"/>
  <c r="Z125" i="69"/>
  <c r="T125" i="69"/>
  <c r="AL123" i="69"/>
  <c r="AF123" i="69"/>
  <c r="Z123" i="69"/>
  <c r="T123" i="69"/>
  <c r="AL122" i="69"/>
  <c r="AF122" i="69"/>
  <c r="Z122" i="69"/>
  <c r="T122" i="69"/>
  <c r="AL121" i="69"/>
  <c r="AF121" i="69"/>
  <c r="Z121" i="69"/>
  <c r="T121" i="69"/>
  <c r="AL120" i="69"/>
  <c r="AF120" i="69"/>
  <c r="Z120" i="69"/>
  <c r="T120" i="69"/>
  <c r="AL119" i="69"/>
  <c r="AF119" i="69"/>
  <c r="Z119" i="69"/>
  <c r="T119" i="69"/>
  <c r="AL118" i="69"/>
  <c r="AF118" i="69"/>
  <c r="Z118" i="69"/>
  <c r="T118" i="69"/>
  <c r="AL117" i="69"/>
  <c r="AF117" i="69"/>
  <c r="Z117" i="69"/>
  <c r="T117" i="69"/>
  <c r="AL116" i="69"/>
  <c r="AF116" i="69"/>
  <c r="Z116" i="69"/>
  <c r="T116" i="69"/>
  <c r="AL115" i="69"/>
  <c r="AF115" i="69"/>
  <c r="Z115" i="69"/>
  <c r="T115" i="69"/>
  <c r="AL114" i="69"/>
  <c r="AF114" i="69"/>
  <c r="Z114" i="69"/>
  <c r="T114" i="69"/>
  <c r="AL113" i="69"/>
  <c r="AF113" i="69"/>
  <c r="Z113" i="69"/>
  <c r="T113" i="69"/>
  <c r="AL112" i="69"/>
  <c r="AF112" i="69"/>
  <c r="Z112" i="69"/>
  <c r="T112" i="69"/>
  <c r="AL111" i="69"/>
  <c r="AF111" i="69"/>
  <c r="Z111" i="69"/>
  <c r="T111" i="69"/>
  <c r="AL110" i="69"/>
  <c r="AF110" i="69"/>
  <c r="Z110" i="69"/>
  <c r="T110" i="69"/>
  <c r="AL109" i="69"/>
  <c r="AF109" i="69"/>
  <c r="Z109" i="69"/>
  <c r="T109" i="69"/>
  <c r="AL108" i="69"/>
  <c r="AF108" i="69"/>
  <c r="Z108" i="69"/>
  <c r="T108" i="69"/>
  <c r="AL107" i="69"/>
  <c r="AF107" i="69"/>
  <c r="Z107" i="69"/>
  <c r="T107" i="69"/>
  <c r="AL106" i="69"/>
  <c r="AF106" i="69"/>
  <c r="Z106" i="69"/>
  <c r="T106" i="69"/>
  <c r="AL105" i="69"/>
  <c r="AF105" i="69"/>
  <c r="Z105" i="69"/>
  <c r="T105" i="69"/>
  <c r="AL104" i="69"/>
  <c r="AF104" i="69"/>
  <c r="Z104" i="69"/>
  <c r="T104" i="69"/>
  <c r="AL103" i="69"/>
  <c r="AF103" i="69"/>
  <c r="Z103" i="69"/>
  <c r="T103" i="69"/>
  <c r="AL102" i="69"/>
  <c r="AF102" i="69"/>
  <c r="Z102" i="69"/>
  <c r="T102" i="69"/>
  <c r="AL101" i="69"/>
  <c r="AF101" i="69"/>
  <c r="Z101" i="69"/>
  <c r="T101" i="69"/>
  <c r="AL100" i="69"/>
  <c r="AF100" i="69"/>
  <c r="Z100" i="69"/>
  <c r="T100" i="69"/>
  <c r="AL99" i="69"/>
  <c r="AF99" i="69"/>
  <c r="Z99" i="69"/>
  <c r="T99" i="69"/>
  <c r="AL98" i="69"/>
  <c r="AF98" i="69"/>
  <c r="Z98" i="69"/>
  <c r="T98" i="69"/>
  <c r="AL97" i="69"/>
  <c r="AF97" i="69"/>
  <c r="Z97" i="69"/>
  <c r="T97" i="69"/>
  <c r="AL96" i="69"/>
  <c r="AF96" i="69"/>
  <c r="Z96" i="69"/>
  <c r="T96" i="69"/>
  <c r="AL95" i="69"/>
  <c r="AF95" i="69"/>
  <c r="Z95" i="69"/>
  <c r="T95" i="69"/>
  <c r="AL94" i="69"/>
  <c r="AF94" i="69"/>
  <c r="Z94" i="69"/>
  <c r="T94" i="69"/>
  <c r="AL93" i="69"/>
  <c r="AF93" i="69"/>
  <c r="Z93" i="69"/>
  <c r="T93" i="69"/>
  <c r="AL92" i="69"/>
  <c r="AF92" i="69"/>
  <c r="Z92" i="69"/>
  <c r="T92" i="69"/>
  <c r="AL91" i="69"/>
  <c r="AF91" i="69"/>
  <c r="Z91" i="69"/>
  <c r="T91" i="69"/>
  <c r="AL90" i="69"/>
  <c r="AF90" i="69"/>
  <c r="Z90" i="69"/>
  <c r="T90" i="69"/>
  <c r="AL89" i="69"/>
  <c r="AF89" i="69"/>
  <c r="Z89" i="69"/>
  <c r="T89" i="69"/>
  <c r="AL88" i="69"/>
  <c r="AF88" i="69"/>
  <c r="Z88" i="69"/>
  <c r="T88" i="69"/>
  <c r="AL87" i="69"/>
  <c r="AF87" i="69"/>
  <c r="Z87" i="69"/>
  <c r="T87" i="69"/>
  <c r="AL86" i="69"/>
  <c r="AF86" i="69"/>
  <c r="Z86" i="69"/>
  <c r="T86" i="69"/>
  <c r="AL85" i="69"/>
  <c r="AF85" i="69"/>
  <c r="Z85" i="69"/>
  <c r="T85" i="69"/>
  <c r="AL84" i="69"/>
  <c r="AF84" i="69"/>
  <c r="Z84" i="69"/>
  <c r="T84" i="69"/>
  <c r="AL83" i="69"/>
  <c r="AF83" i="69"/>
  <c r="Z83" i="69"/>
  <c r="T83" i="69"/>
  <c r="AL82" i="69"/>
  <c r="AF82" i="69"/>
  <c r="Z82" i="69"/>
  <c r="T82" i="69"/>
  <c r="AL81" i="69"/>
  <c r="AF81" i="69"/>
  <c r="Z81" i="69"/>
  <c r="T81" i="69"/>
  <c r="AL80" i="69"/>
  <c r="AF80" i="69"/>
  <c r="Z80" i="69"/>
  <c r="T80" i="69"/>
  <c r="AL79" i="69"/>
  <c r="AF79" i="69"/>
  <c r="Z79" i="69"/>
  <c r="T79" i="69"/>
  <c r="AL78" i="69"/>
  <c r="AF78" i="69"/>
  <c r="Z78" i="69"/>
  <c r="T78" i="69"/>
  <c r="AL77" i="69"/>
  <c r="AF77" i="69"/>
  <c r="Z77" i="69"/>
  <c r="T77" i="69"/>
  <c r="AL76" i="69"/>
  <c r="AF76" i="69"/>
  <c r="Z76" i="69"/>
  <c r="T76" i="69"/>
  <c r="AL75" i="69"/>
  <c r="AF75" i="69"/>
  <c r="Z75" i="69"/>
  <c r="T75" i="69"/>
  <c r="AL74" i="69"/>
  <c r="AF74" i="69"/>
  <c r="Z74" i="69"/>
  <c r="T74" i="69"/>
  <c r="AL73" i="69"/>
  <c r="AF73" i="69"/>
  <c r="Z73" i="69"/>
  <c r="T73" i="69"/>
  <c r="AL72" i="69"/>
  <c r="AF72" i="69"/>
  <c r="Z72" i="69"/>
  <c r="T72" i="69"/>
  <c r="AL71" i="69"/>
  <c r="AF71" i="69"/>
  <c r="Z71" i="69"/>
  <c r="T71" i="69"/>
  <c r="AL70" i="69"/>
  <c r="AF70" i="69"/>
  <c r="Z70" i="69"/>
  <c r="T70" i="69"/>
  <c r="AL69" i="69"/>
  <c r="AF69" i="69"/>
  <c r="Z69" i="69"/>
  <c r="T69" i="69"/>
  <c r="AL68" i="69"/>
  <c r="AF68" i="69"/>
  <c r="Z68" i="69"/>
  <c r="T68" i="69"/>
  <c r="AL67" i="69"/>
  <c r="AF67" i="69"/>
  <c r="Z67" i="69"/>
  <c r="T67" i="69"/>
  <c r="AL66" i="69"/>
  <c r="AF66" i="69"/>
  <c r="Z66" i="69"/>
  <c r="T66" i="69"/>
  <c r="AL65" i="69"/>
  <c r="AF65" i="69"/>
  <c r="Z65" i="69"/>
  <c r="T65" i="69"/>
  <c r="AL64" i="69"/>
  <c r="AF64" i="69"/>
  <c r="Z64" i="69"/>
  <c r="T64" i="69"/>
  <c r="AL63" i="69"/>
  <c r="AF63" i="69"/>
  <c r="Z63" i="69"/>
  <c r="T63" i="69"/>
  <c r="AL62" i="69"/>
  <c r="AF62" i="69"/>
  <c r="Z62" i="69"/>
  <c r="T62" i="69"/>
  <c r="AL60" i="69"/>
  <c r="AF60" i="69"/>
  <c r="Z60" i="69"/>
  <c r="T60" i="69"/>
  <c r="AL59" i="69"/>
  <c r="AF59" i="69"/>
  <c r="Z59" i="69"/>
  <c r="T59" i="69"/>
  <c r="AL58" i="69"/>
  <c r="AF58" i="69"/>
  <c r="Z58" i="69"/>
  <c r="T58" i="69"/>
  <c r="AL56" i="69"/>
  <c r="AF56" i="69"/>
  <c r="Z56" i="69"/>
  <c r="T56" i="69"/>
  <c r="AL55" i="69"/>
  <c r="AF55" i="69"/>
  <c r="Z55" i="69"/>
  <c r="T55" i="69"/>
  <c r="AL48" i="69"/>
  <c r="AF48" i="69"/>
  <c r="Z48" i="69"/>
  <c r="T48" i="69"/>
  <c r="N48" i="69"/>
  <c r="AL47" i="69"/>
  <c r="AF47" i="69"/>
  <c r="Z47" i="69"/>
  <c r="T47" i="69"/>
  <c r="N47" i="69"/>
  <c r="AL46" i="69"/>
  <c r="AF46" i="69"/>
  <c r="Z46" i="69"/>
  <c r="T46" i="69"/>
  <c r="N46" i="69"/>
  <c r="AL45" i="69"/>
  <c r="AF45" i="69"/>
  <c r="Z45" i="69"/>
  <c r="T45" i="69"/>
  <c r="N45" i="69"/>
  <c r="AL44" i="69"/>
  <c r="AF44" i="69"/>
  <c r="Z44" i="69"/>
  <c r="T44" i="69"/>
  <c r="N44" i="69"/>
  <c r="AL42" i="69"/>
  <c r="AF42" i="69"/>
  <c r="Z42" i="69"/>
  <c r="T42" i="69"/>
  <c r="N42" i="69"/>
  <c r="AL41" i="69"/>
  <c r="AF41" i="69"/>
  <c r="Z41" i="69"/>
  <c r="T41" i="69"/>
  <c r="N41" i="69"/>
  <c r="AL40" i="69"/>
  <c r="AF40" i="69"/>
  <c r="Z40" i="69"/>
  <c r="T40" i="69"/>
  <c r="N40" i="69"/>
  <c r="AL39" i="69"/>
  <c r="AF39" i="69"/>
  <c r="Z39" i="69"/>
  <c r="T39" i="69"/>
  <c r="N39" i="69"/>
  <c r="AL38" i="69"/>
  <c r="AF38" i="69"/>
  <c r="Z38" i="69"/>
  <c r="T38" i="69"/>
  <c r="N38" i="69"/>
  <c r="AL36" i="69"/>
  <c r="AF36" i="69"/>
  <c r="Z36" i="69"/>
  <c r="T36" i="69"/>
  <c r="N36" i="69"/>
  <c r="AL35" i="69"/>
  <c r="AF35" i="69"/>
  <c r="Z35" i="69"/>
  <c r="T35" i="69"/>
  <c r="N35" i="69"/>
  <c r="AL34" i="69"/>
  <c r="AF34" i="69"/>
  <c r="Z34" i="69"/>
  <c r="T34" i="69"/>
  <c r="N34" i="69"/>
  <c r="AL33" i="69"/>
  <c r="AF33" i="69"/>
  <c r="Z33" i="69"/>
  <c r="T33" i="69"/>
  <c r="N33" i="69"/>
  <c r="AL32" i="69"/>
  <c r="AF32" i="69"/>
  <c r="Z32" i="69"/>
  <c r="T32" i="69"/>
  <c r="N32" i="69"/>
  <c r="AL31" i="69"/>
  <c r="Z31" i="69"/>
  <c r="N31" i="69"/>
  <c r="AL30" i="69"/>
  <c r="AF30" i="69"/>
  <c r="Z30" i="69"/>
  <c r="N30" i="69"/>
  <c r="AL29" i="69"/>
  <c r="AF29" i="69"/>
  <c r="Z29" i="69"/>
  <c r="T29" i="69"/>
  <c r="N29" i="69"/>
  <c r="T28" i="69"/>
  <c r="N28" i="69"/>
  <c r="AL27" i="69"/>
  <c r="AF27" i="69"/>
  <c r="Z27" i="69"/>
  <c r="T27" i="69"/>
  <c r="N27" i="69"/>
  <c r="AL26" i="69"/>
  <c r="AF26" i="69"/>
  <c r="Z26" i="69"/>
  <c r="T26" i="69"/>
  <c r="N26" i="69"/>
  <c r="AL25" i="69"/>
  <c r="AF25" i="69"/>
  <c r="Z25" i="69"/>
  <c r="T25" i="69"/>
  <c r="N25" i="69"/>
  <c r="AL24" i="69"/>
  <c r="AF24" i="69"/>
  <c r="Z24" i="69"/>
  <c r="T24" i="69"/>
  <c r="N24" i="69"/>
  <c r="AL23" i="69"/>
  <c r="AF23" i="69"/>
  <c r="Z23" i="69"/>
  <c r="T23" i="69"/>
  <c r="N23" i="69"/>
  <c r="AL22" i="69"/>
  <c r="AF22" i="69"/>
  <c r="Z22" i="69"/>
  <c r="T22" i="69"/>
  <c r="N22" i="69"/>
  <c r="AL21" i="69"/>
  <c r="AF21" i="69"/>
  <c r="Z21" i="69"/>
  <c r="T21" i="69"/>
  <c r="N21" i="69"/>
  <c r="AL20" i="69"/>
  <c r="AF20" i="69"/>
  <c r="Z20" i="69"/>
  <c r="T20" i="69"/>
  <c r="N20" i="69"/>
  <c r="AL19" i="69"/>
  <c r="AF19" i="69"/>
  <c r="Z19" i="69"/>
  <c r="T19" i="69"/>
  <c r="N19" i="69"/>
  <c r="AL18" i="69"/>
  <c r="AF18" i="69"/>
  <c r="Z18" i="69"/>
  <c r="T18" i="69"/>
  <c r="N18" i="69"/>
  <c r="AL17" i="69"/>
  <c r="AF17" i="69"/>
  <c r="Z17" i="69"/>
  <c r="T17" i="69"/>
  <c r="N17" i="69"/>
  <c r="AL16" i="69"/>
  <c r="AF16" i="69"/>
  <c r="Z16" i="69"/>
  <c r="T16" i="69"/>
  <c r="N16" i="69"/>
  <c r="AL15" i="69"/>
  <c r="AF15" i="69"/>
  <c r="Z15" i="69"/>
  <c r="T15" i="69"/>
  <c r="N15" i="69"/>
  <c r="AL14" i="69"/>
  <c r="AF14" i="69"/>
  <c r="Z14" i="69"/>
  <c r="T14" i="69"/>
  <c r="N14" i="69"/>
  <c r="AL13" i="69"/>
  <c r="AF13" i="69"/>
  <c r="Z13" i="69"/>
  <c r="T13" i="69"/>
  <c r="N13" i="69"/>
  <c r="AL12" i="69"/>
  <c r="AF12" i="69"/>
  <c r="Z12" i="69"/>
  <c r="T12" i="69"/>
  <c r="N12" i="69"/>
  <c r="AL11" i="69"/>
  <c r="AF11" i="69"/>
  <c r="Z11" i="69"/>
  <c r="T11" i="69"/>
  <c r="N11" i="69"/>
  <c r="AL10" i="69"/>
  <c r="AF10" i="69"/>
  <c r="Z10" i="69"/>
  <c r="T10" i="69"/>
  <c r="N10" i="69"/>
  <c r="AL9" i="69"/>
  <c r="AF9" i="69"/>
  <c r="Z9" i="69"/>
  <c r="T9" i="69"/>
  <c r="N9" i="69"/>
  <c r="AL5" i="69"/>
  <c r="AF5" i="69"/>
  <c r="Z5" i="69"/>
  <c r="T5" i="69"/>
  <c r="N5" i="69"/>
  <c r="AL4" i="69"/>
  <c r="AF4" i="69"/>
  <c r="Z4" i="69"/>
  <c r="T4" i="69"/>
  <c r="N4" i="69"/>
  <c r="AL3" i="69"/>
  <c r="AF3" i="69"/>
  <c r="Z3" i="69"/>
  <c r="T3" i="69"/>
  <c r="N3" i="69"/>
  <c r="O1" i="69"/>
  <c r="U1" i="69" s="1"/>
  <c r="AA1" i="69" s="1"/>
  <c r="AG1" i="69" s="1"/>
  <c r="I49" i="38"/>
  <c r="G49" i="38"/>
  <c r="D49" i="38"/>
  <c r="I48" i="38"/>
  <c r="G48" i="38"/>
  <c r="D48" i="38"/>
  <c r="I47" i="38"/>
  <c r="G47" i="38"/>
  <c r="D47" i="38"/>
  <c r="I46" i="38"/>
  <c r="I51" i="38" s="1"/>
  <c r="G46" i="38"/>
  <c r="G51" i="38" s="1"/>
  <c r="D46" i="38"/>
  <c r="D51" i="38" s="1"/>
  <c r="B33" i="55"/>
  <c r="B33" i="75" s="1"/>
  <c r="B32" i="55"/>
  <c r="B32" i="75" s="1"/>
  <c r="B31" i="55"/>
  <c r="B31" i="75" s="1"/>
  <c r="C30" i="38"/>
  <c r="B30" i="38"/>
  <c r="B30" i="55" s="1"/>
  <c r="B30" i="75" s="1"/>
  <c r="C29" i="38"/>
  <c r="B29" i="38"/>
  <c r="B29" i="55" s="1"/>
  <c r="B29" i="75" s="1"/>
  <c r="C28" i="38"/>
  <c r="B28" i="38"/>
  <c r="B28" i="55" s="1"/>
  <c r="B28" i="75" s="1"/>
  <c r="C27" i="38"/>
  <c r="B27" i="38"/>
  <c r="B27" i="55" s="1"/>
  <c r="B27" i="75" s="1"/>
  <c r="C26" i="38"/>
  <c r="B26" i="38"/>
  <c r="B26" i="55" s="1"/>
  <c r="B26" i="75" s="1"/>
  <c r="C25" i="38"/>
  <c r="B25" i="38"/>
  <c r="B25" i="55" s="1"/>
  <c r="B25" i="75" s="1"/>
  <c r="C24" i="38"/>
  <c r="B24" i="38"/>
  <c r="B24" i="55" s="1"/>
  <c r="B24" i="75" s="1"/>
  <c r="C23" i="38"/>
  <c r="B23" i="38"/>
  <c r="B23" i="55" s="1"/>
  <c r="B23" i="75" s="1"/>
  <c r="C22" i="38"/>
  <c r="B22" i="38"/>
  <c r="B22" i="55" s="1"/>
  <c r="B22" i="75" s="1"/>
  <c r="C21" i="38"/>
  <c r="B21" i="38"/>
  <c r="B21" i="55" s="1"/>
  <c r="B21" i="75" s="1"/>
  <c r="C20" i="38"/>
  <c r="B20" i="38"/>
  <c r="B20" i="55" s="1"/>
  <c r="B20" i="75" s="1"/>
  <c r="C19" i="38"/>
  <c r="B19" i="38"/>
  <c r="B19" i="55" s="1"/>
  <c r="B19" i="75" s="1"/>
  <c r="C18" i="38"/>
  <c r="B18" i="38"/>
  <c r="B18" i="55" s="1"/>
  <c r="B18" i="75" s="1"/>
  <c r="C17" i="38"/>
  <c r="B17" i="38"/>
  <c r="B17" i="55" s="1"/>
  <c r="B17" i="75" s="1"/>
  <c r="C16" i="38"/>
  <c r="B16" i="38"/>
  <c r="B16" i="55" s="1"/>
  <c r="B16" i="75" s="1"/>
  <c r="C15" i="38"/>
  <c r="B15" i="38"/>
  <c r="B15" i="55" s="1"/>
  <c r="B15" i="75" s="1"/>
  <c r="C14" i="38"/>
  <c r="B14" i="38"/>
  <c r="B14" i="55" s="1"/>
  <c r="B14" i="75" s="1"/>
  <c r="C13" i="38"/>
  <c r="B13" i="38"/>
  <c r="B13" i="55" s="1"/>
  <c r="B13" i="75" s="1"/>
  <c r="C12" i="38"/>
  <c r="B12" i="38"/>
  <c r="B12" i="55" s="1"/>
  <c r="B12" i="75" s="1"/>
  <c r="C11" i="38"/>
  <c r="B11" i="38"/>
  <c r="B11" i="55" s="1"/>
  <c r="B11" i="75" s="1"/>
  <c r="C10" i="38"/>
  <c r="B10" i="38"/>
  <c r="B10" i="55" s="1"/>
  <c r="B10" i="75" s="1"/>
  <c r="C9" i="38"/>
  <c r="B9" i="38"/>
  <c r="B9" i="55" s="1"/>
  <c r="B9" i="75" s="1"/>
  <c r="C8" i="38"/>
  <c r="B8" i="38"/>
  <c r="B8" i="55" s="1"/>
  <c r="B8" i="75" s="1"/>
  <c r="C7" i="38"/>
  <c r="B7" i="38"/>
  <c r="B7" i="55" s="1"/>
  <c r="B7" i="75" s="1"/>
  <c r="C6" i="38"/>
  <c r="B6" i="38"/>
  <c r="B6" i="55" s="1"/>
  <c r="B6" i="75" s="1"/>
  <c r="C5" i="38"/>
  <c r="B5" i="38"/>
  <c r="B5" i="55" s="1"/>
  <c r="B5" i="75" s="1"/>
  <c r="C4" i="38"/>
  <c r="B4" i="38"/>
  <c r="B4" i="55" s="1"/>
  <c r="B4" i="75" s="1"/>
  <c r="AW3" i="38"/>
  <c r="AX3" i="38" s="1"/>
  <c r="AY3" i="38" s="1"/>
  <c r="AZ3" i="38" s="1"/>
  <c r="AP3" i="38"/>
  <c r="AQ3" i="38" s="1"/>
  <c r="AR3" i="38" s="1"/>
  <c r="AS3" i="38" s="1"/>
  <c r="AB3" i="38"/>
  <c r="AC3" i="38" s="1"/>
  <c r="AD3" i="38" s="1"/>
  <c r="AE3" i="38" s="1"/>
  <c r="T3" i="38"/>
  <c r="AB33" i="55"/>
  <c r="Y33" i="55"/>
  <c r="Y32" i="55"/>
  <c r="AB31" i="55"/>
  <c r="Y31" i="55"/>
  <c r="S30" i="36"/>
  <c r="R30" i="36"/>
  <c r="Y30" i="55" s="1"/>
  <c r="Q30" i="36"/>
  <c r="Y30" i="36" s="1"/>
  <c r="N30" i="36"/>
  <c r="L30" i="36"/>
  <c r="T30" i="36" s="1"/>
  <c r="K30" i="36"/>
  <c r="S29" i="36"/>
  <c r="AB29" i="55" s="1"/>
  <c r="R29" i="36"/>
  <c r="Y29" i="55" s="1"/>
  <c r="Q29" i="36"/>
  <c r="N29" i="36"/>
  <c r="X29" i="36" s="1"/>
  <c r="AH29" i="36" s="1"/>
  <c r="L29" i="36"/>
  <c r="V29" i="36" s="1"/>
  <c r="K29" i="36"/>
  <c r="S28" i="36"/>
  <c r="R28" i="36"/>
  <c r="Y28" i="55" s="1"/>
  <c r="Q28" i="36"/>
  <c r="Y28" i="36" s="1"/>
  <c r="N28" i="36"/>
  <c r="X28" i="36" s="1"/>
  <c r="L28" i="36"/>
  <c r="K28" i="36"/>
  <c r="S27" i="36"/>
  <c r="AB27" i="55" s="1"/>
  <c r="R27" i="36"/>
  <c r="Y27" i="55" s="1"/>
  <c r="Q27" i="36"/>
  <c r="N27" i="36"/>
  <c r="X27" i="36" s="1"/>
  <c r="AH27" i="36" s="1"/>
  <c r="AR27" i="36" s="1"/>
  <c r="L27" i="36"/>
  <c r="K27" i="36"/>
  <c r="S26" i="36"/>
  <c r="R26" i="36"/>
  <c r="Y26" i="55" s="1"/>
  <c r="Q26" i="36"/>
  <c r="N26" i="36"/>
  <c r="X26" i="36" s="1"/>
  <c r="L26" i="36"/>
  <c r="U26" i="36" s="1"/>
  <c r="K26" i="36"/>
  <c r="S25" i="36"/>
  <c r="AB25" i="55" s="1"/>
  <c r="R25" i="36"/>
  <c r="Y25" i="55" s="1"/>
  <c r="Q25" i="36"/>
  <c r="N25" i="36"/>
  <c r="X25" i="36" s="1"/>
  <c r="AH25" i="36" s="1"/>
  <c r="L25" i="36"/>
  <c r="V25" i="36" s="1"/>
  <c r="AF25" i="36" s="1"/>
  <c r="K25" i="36"/>
  <c r="S24" i="36"/>
  <c r="R24" i="36"/>
  <c r="Y24" i="55" s="1"/>
  <c r="Q24" i="36"/>
  <c r="N24" i="36"/>
  <c r="X24" i="36" s="1"/>
  <c r="L24" i="36"/>
  <c r="U24" i="36" s="1"/>
  <c r="K24" i="36"/>
  <c r="S23" i="36"/>
  <c r="AB23" i="55" s="1"/>
  <c r="R23" i="36"/>
  <c r="Y23" i="55" s="1"/>
  <c r="Q23" i="36"/>
  <c r="N23" i="36"/>
  <c r="V23" i="55" s="1"/>
  <c r="L23" i="36"/>
  <c r="V23" i="36" s="1"/>
  <c r="AF23" i="36" s="1"/>
  <c r="K23" i="36"/>
  <c r="S22" i="36"/>
  <c r="R22" i="36"/>
  <c r="Y22" i="55" s="1"/>
  <c r="Q22" i="36"/>
  <c r="N22" i="36"/>
  <c r="X22" i="36" s="1"/>
  <c r="L22" i="36"/>
  <c r="U22" i="36" s="1"/>
  <c r="K22" i="36"/>
  <c r="S21" i="36"/>
  <c r="AB21" i="55" s="1"/>
  <c r="R21" i="36"/>
  <c r="Y21" i="55" s="1"/>
  <c r="Q21" i="36"/>
  <c r="N21" i="36"/>
  <c r="V21" i="55" s="1"/>
  <c r="L21" i="36"/>
  <c r="V21" i="36" s="1"/>
  <c r="AF21" i="36" s="1"/>
  <c r="K21" i="36"/>
  <c r="S20" i="36"/>
  <c r="R20" i="36"/>
  <c r="Y20" i="55" s="1"/>
  <c r="Q20" i="36"/>
  <c r="N20" i="36"/>
  <c r="X20" i="36" s="1"/>
  <c r="L20" i="36"/>
  <c r="U20" i="36" s="1"/>
  <c r="K20" i="36"/>
  <c r="S19" i="36"/>
  <c r="AB19" i="55" s="1"/>
  <c r="R19" i="36"/>
  <c r="AB19" i="36" s="1"/>
  <c r="Q19" i="36"/>
  <c r="N19" i="36"/>
  <c r="X19" i="36" s="1"/>
  <c r="L19" i="36"/>
  <c r="V19" i="36" s="1"/>
  <c r="K19" i="36"/>
  <c r="S18" i="36"/>
  <c r="R18" i="36"/>
  <c r="Y18" i="55" s="1"/>
  <c r="Q18" i="36"/>
  <c r="AD18" i="55" s="1"/>
  <c r="AI18" i="75" s="1"/>
  <c r="N18" i="36"/>
  <c r="X18" i="36" s="1"/>
  <c r="L18" i="36"/>
  <c r="U18" i="36" s="1"/>
  <c r="K18" i="36"/>
  <c r="S17" i="36"/>
  <c r="AB17" i="55" s="1"/>
  <c r="R17" i="36"/>
  <c r="Y17" i="55" s="1"/>
  <c r="Q17" i="36"/>
  <c r="N17" i="36"/>
  <c r="X17" i="36" s="1"/>
  <c r="L17" i="36"/>
  <c r="V17" i="36" s="1"/>
  <c r="K17" i="36"/>
  <c r="D17" i="55"/>
  <c r="S16" i="36"/>
  <c r="R16" i="36"/>
  <c r="Y16" i="55" s="1"/>
  <c r="Q16" i="36"/>
  <c r="Y16" i="36" s="1"/>
  <c r="N16" i="36"/>
  <c r="X16" i="36" s="1"/>
  <c r="L16" i="36"/>
  <c r="U16" i="36" s="1"/>
  <c r="K16" i="36"/>
  <c r="S15" i="36"/>
  <c r="AB15" i="55" s="1"/>
  <c r="R15" i="36"/>
  <c r="Y15" i="55" s="1"/>
  <c r="Q15" i="36"/>
  <c r="N15" i="36"/>
  <c r="X15" i="36" s="1"/>
  <c r="L15" i="36"/>
  <c r="V15" i="36" s="1"/>
  <c r="K15" i="36"/>
  <c r="S14" i="36"/>
  <c r="R14" i="36"/>
  <c r="Y14" i="55" s="1"/>
  <c r="Q14" i="36"/>
  <c r="N14" i="36"/>
  <c r="X14" i="36" s="1"/>
  <c r="L14" i="36"/>
  <c r="U14" i="36" s="1"/>
  <c r="K14" i="36"/>
  <c r="S13" i="36"/>
  <c r="AB13" i="55" s="1"/>
  <c r="R13" i="36"/>
  <c r="Y13" i="55" s="1"/>
  <c r="Q13" i="36"/>
  <c r="N13" i="36"/>
  <c r="V13" i="55" s="1"/>
  <c r="L13" i="36"/>
  <c r="V13" i="36" s="1"/>
  <c r="K13" i="36"/>
  <c r="S12" i="36"/>
  <c r="R12" i="36"/>
  <c r="Y12" i="55" s="1"/>
  <c r="Q12" i="36"/>
  <c r="N12" i="36"/>
  <c r="X12" i="36" s="1"/>
  <c r="L12" i="36"/>
  <c r="U12" i="36" s="1"/>
  <c r="K12" i="36"/>
  <c r="S11" i="36"/>
  <c r="AB11" i="55" s="1"/>
  <c r="R11" i="36"/>
  <c r="Y11" i="55" s="1"/>
  <c r="Q11" i="36"/>
  <c r="N11" i="36"/>
  <c r="X11" i="36" s="1"/>
  <c r="L11" i="36"/>
  <c r="V11" i="36" s="1"/>
  <c r="K11" i="36"/>
  <c r="S10" i="36"/>
  <c r="R10" i="36"/>
  <c r="Y10" i="55" s="1"/>
  <c r="Q10" i="36"/>
  <c r="Y10" i="36" s="1"/>
  <c r="N10" i="36"/>
  <c r="X10" i="36" s="1"/>
  <c r="L10" i="36"/>
  <c r="U10" i="36" s="1"/>
  <c r="K10" i="36"/>
  <c r="S9" i="36"/>
  <c r="AB9" i="55" s="1"/>
  <c r="R9" i="36"/>
  <c r="Y9" i="55" s="1"/>
  <c r="Q9" i="36"/>
  <c r="N9" i="36"/>
  <c r="V9" i="55" s="1"/>
  <c r="L9" i="36"/>
  <c r="V9" i="36" s="1"/>
  <c r="AD9" i="36" s="1"/>
  <c r="K9" i="36"/>
  <c r="S8" i="36"/>
  <c r="R8" i="36"/>
  <c r="Y8" i="55" s="1"/>
  <c r="Q8" i="36"/>
  <c r="Y8" i="36" s="1"/>
  <c r="N8" i="36"/>
  <c r="X8" i="36" s="1"/>
  <c r="L8" i="36"/>
  <c r="U8" i="36" s="1"/>
  <c r="K8" i="36"/>
  <c r="S7" i="36"/>
  <c r="AB7" i="55" s="1"/>
  <c r="R7" i="36"/>
  <c r="Y7" i="55" s="1"/>
  <c r="Q7" i="36"/>
  <c r="AE7" i="55" s="1"/>
  <c r="N7" i="36"/>
  <c r="V7" i="55" s="1"/>
  <c r="L7" i="36"/>
  <c r="V7" i="36" s="1"/>
  <c r="K7" i="36"/>
  <c r="S6" i="36"/>
  <c r="R6" i="36"/>
  <c r="Y6" i="55" s="1"/>
  <c r="Q6" i="36"/>
  <c r="N6" i="36"/>
  <c r="X6" i="36" s="1"/>
  <c r="L6" i="36"/>
  <c r="U6" i="36" s="1"/>
  <c r="K6" i="36"/>
  <c r="S5" i="36"/>
  <c r="AB5" i="55" s="1"/>
  <c r="R5" i="36"/>
  <c r="Y5" i="55" s="1"/>
  <c r="Q5" i="36"/>
  <c r="N5" i="36"/>
  <c r="X5" i="36" s="1"/>
  <c r="L5" i="36"/>
  <c r="V5" i="36" s="1"/>
  <c r="AD5" i="36" s="1"/>
  <c r="K5" i="36"/>
  <c r="R4" i="36"/>
  <c r="Y4" i="55" s="1"/>
  <c r="Q4" i="36"/>
  <c r="AE4" i="55" s="1"/>
  <c r="N4" i="36"/>
  <c r="X4" i="36" s="1"/>
  <c r="L4" i="36"/>
  <c r="U4" i="36" s="1"/>
  <c r="K4" i="36"/>
  <c r="D4" i="55"/>
  <c r="S3" i="36"/>
  <c r="AC3" i="36" s="1"/>
  <c r="AM3" i="36" s="1"/>
  <c r="AW3" i="36" s="1"/>
  <c r="R3" i="36"/>
  <c r="AB3" i="36" s="1"/>
  <c r="AL3" i="36" s="1"/>
  <c r="AV3" i="36" s="1"/>
  <c r="Q3" i="36"/>
  <c r="Y3" i="36" s="1"/>
  <c r="AI3" i="36" s="1"/>
  <c r="AS3" i="36" s="1"/>
  <c r="N3" i="36"/>
  <c r="X3" i="36" s="1"/>
  <c r="AH3" i="36" s="1"/>
  <c r="AR3" i="36" s="1"/>
  <c r="D1" i="36"/>
  <c r="L1" i="36" s="1"/>
  <c r="V1" i="36" s="1"/>
  <c r="AF1" i="36" s="1"/>
  <c r="AP1" i="36" s="1"/>
  <c r="J16" i="7"/>
  <c r="F16" i="7"/>
  <c r="B4" i="74" l="1"/>
  <c r="E44" i="19"/>
  <c r="I44" i="19"/>
  <c r="O44" i="19"/>
  <c r="S44" i="19"/>
  <c r="Y44" i="19"/>
  <c r="AE44" i="19"/>
  <c r="AI44" i="19"/>
  <c r="AO40" i="36"/>
  <c r="J44" i="19"/>
  <c r="P44" i="19"/>
  <c r="V44" i="19"/>
  <c r="Z44" i="19"/>
  <c r="AF44" i="19"/>
  <c r="AJ44" i="19"/>
  <c r="AP44" i="19"/>
  <c r="AT44" i="19"/>
  <c r="AP33" i="36"/>
  <c r="AO33" i="36"/>
  <c r="AE40" i="36"/>
  <c r="AD40" i="36"/>
  <c r="AD32" i="36"/>
  <c r="G44" i="19"/>
  <c r="M44" i="19"/>
  <c r="Q44" i="19"/>
  <c r="W44" i="19"/>
  <c r="AA44" i="19"/>
  <c r="AG44" i="19"/>
  <c r="AK44" i="19"/>
  <c r="D30" i="74"/>
  <c r="D30" i="79" s="1"/>
  <c r="AP41" i="36"/>
  <c r="AX41" i="36" s="1"/>
  <c r="AD36" i="36"/>
  <c r="AH44" i="19"/>
  <c r="AO41" i="36"/>
  <c r="F44" i="19"/>
  <c r="I3" i="75"/>
  <c r="N3" i="75" s="1"/>
  <c r="S3" i="75" s="1"/>
  <c r="X3" i="75" s="1"/>
  <c r="AC3" i="75" s="1"/>
  <c r="AH3" i="75" s="1"/>
  <c r="AM3" i="75" s="1"/>
  <c r="AF32" i="36"/>
  <c r="AN32" i="36" s="1"/>
  <c r="AN40" i="36"/>
  <c r="AC12" i="19"/>
  <c r="M14" i="1"/>
  <c r="T9" i="19"/>
  <c r="F19" i="1" s="1"/>
  <c r="AL7" i="19"/>
  <c r="J17" i="1" s="1"/>
  <c r="AU4" i="19"/>
  <c r="L14" i="1" s="1"/>
  <c r="AU10" i="19"/>
  <c r="L20" i="1" s="1"/>
  <c r="AX40" i="36"/>
  <c r="AY40" i="36"/>
  <c r="AC4" i="19"/>
  <c r="H14" i="1" s="1"/>
  <c r="K8" i="19"/>
  <c r="D18" i="1" s="1"/>
  <c r="T11" i="19"/>
  <c r="F21" i="1" s="1"/>
  <c r="D24" i="74"/>
  <c r="D24" i="79" s="1"/>
  <c r="S3" i="38"/>
  <c r="AU3" i="38"/>
  <c r="AG3" i="38"/>
  <c r="AN3" i="38"/>
  <c r="Z3" i="38"/>
  <c r="AP37" i="36"/>
  <c r="AX37" i="36" s="1"/>
  <c r="AF36" i="36"/>
  <c r="AN36" i="36" s="1"/>
  <c r="AL9" i="19"/>
  <c r="J19" i="1" s="1"/>
  <c r="AU12" i="19"/>
  <c r="L22" i="1" s="1"/>
  <c r="D44" i="19"/>
  <c r="H44" i="19"/>
  <c r="N44" i="19"/>
  <c r="R44" i="19"/>
  <c r="X44" i="19"/>
  <c r="AB44" i="19"/>
  <c r="AN44" i="19"/>
  <c r="AR44" i="19"/>
  <c r="AQ44" i="19"/>
  <c r="K21" i="1"/>
  <c r="M21" i="1" s="1"/>
  <c r="B11" i="74" s="1"/>
  <c r="B11" i="79" s="1"/>
  <c r="D18" i="74"/>
  <c r="D18" i="79" s="1"/>
  <c r="AO37" i="36"/>
  <c r="K4" i="19"/>
  <c r="D14" i="1" s="1"/>
  <c r="M15" i="1"/>
  <c r="B5" i="74" s="1"/>
  <c r="B5" i="79" s="1"/>
  <c r="AL5" i="19"/>
  <c r="J15" i="1" s="1"/>
  <c r="T7" i="19"/>
  <c r="F17" i="1" s="1"/>
  <c r="AU8" i="19"/>
  <c r="L18" i="1" s="1"/>
  <c r="M20" i="1"/>
  <c r="B10" i="74" s="1"/>
  <c r="B10" i="79" s="1"/>
  <c r="AC10" i="19"/>
  <c r="H20" i="1" s="1"/>
  <c r="K12" i="19"/>
  <c r="D22" i="1" s="1"/>
  <c r="AL13" i="19"/>
  <c r="J23" i="1" s="1"/>
  <c r="K25" i="1"/>
  <c r="T5" i="19"/>
  <c r="F15" i="1" s="1"/>
  <c r="M18" i="1"/>
  <c r="B8" i="74" s="1"/>
  <c r="B8" i="79" s="1"/>
  <c r="AC8" i="19"/>
  <c r="H18" i="1" s="1"/>
  <c r="K10" i="19"/>
  <c r="D20" i="1" s="1"/>
  <c r="AL11" i="19"/>
  <c r="J21" i="1" s="1"/>
  <c r="T13" i="19"/>
  <c r="F23" i="1" s="1"/>
  <c r="AC14" i="19"/>
  <c r="H24" i="1" s="1"/>
  <c r="K17" i="1"/>
  <c r="M17" i="1" s="1"/>
  <c r="B7" i="79" s="1"/>
  <c r="K29" i="1"/>
  <c r="M19" i="1"/>
  <c r="B9" i="74" s="1"/>
  <c r="B9" i="79" s="1"/>
  <c r="K33" i="1"/>
  <c r="AE38" i="36"/>
  <c r="AD38" i="36"/>
  <c r="AF38" i="36"/>
  <c r="AE39" i="36"/>
  <c r="AF39" i="36"/>
  <c r="AD39" i="36"/>
  <c r="AE31" i="36"/>
  <c r="AD31" i="36"/>
  <c r="AF31" i="36"/>
  <c r="AD34" i="36"/>
  <c r="AE34" i="36"/>
  <c r="AF34" i="36"/>
  <c r="AD35" i="36"/>
  <c r="AE35" i="36"/>
  <c r="AF35" i="36"/>
  <c r="AY37" i="36"/>
  <c r="AY33" i="36"/>
  <c r="AX33" i="36"/>
  <c r="X21" i="36"/>
  <c r="AL21" i="55" s="1"/>
  <c r="L2" i="19"/>
  <c r="L32" i="19" s="1"/>
  <c r="X7" i="36"/>
  <c r="AL7" i="55" s="1"/>
  <c r="X23" i="36"/>
  <c r="AH23" i="36" s="1"/>
  <c r="BA23" i="55" s="1"/>
  <c r="U27" i="55"/>
  <c r="U29" i="36"/>
  <c r="X29" i="55" s="1"/>
  <c r="Y29" i="75" s="1"/>
  <c r="C40" i="19"/>
  <c r="C51" i="1" s="1"/>
  <c r="X13" i="36"/>
  <c r="AK13" i="55" s="1"/>
  <c r="U3" i="38"/>
  <c r="V3" i="38" s="1"/>
  <c r="W3" i="38" s="1"/>
  <c r="X3" i="38" s="1"/>
  <c r="X9" i="36"/>
  <c r="AH9" i="36" s="1"/>
  <c r="BA9" i="55" s="1"/>
  <c r="AB27" i="36"/>
  <c r="AN27" i="55" s="1"/>
  <c r="U33" i="55"/>
  <c r="D45" i="38"/>
  <c r="G45" i="38" s="1"/>
  <c r="I45" i="38" s="1"/>
  <c r="D1" i="66"/>
  <c r="E1" i="66" s="1"/>
  <c r="F1" i="66" s="1"/>
  <c r="G1" i="66" s="1"/>
  <c r="H1" i="66" s="1"/>
  <c r="AB23" i="36"/>
  <c r="AN23" i="55" s="1"/>
  <c r="AB6" i="36"/>
  <c r="AB8" i="36"/>
  <c r="AB14" i="36"/>
  <c r="AB26" i="36"/>
  <c r="AN26" i="55" s="1"/>
  <c r="AC27" i="36"/>
  <c r="AB30" i="36"/>
  <c r="C2" i="1"/>
  <c r="E2" i="1" s="1"/>
  <c r="G2" i="1" s="1"/>
  <c r="I2" i="1" s="1"/>
  <c r="K2" i="1" s="1"/>
  <c r="C38" i="1"/>
  <c r="E38" i="1" s="1"/>
  <c r="G38" i="1" s="1"/>
  <c r="I38" i="1" s="1"/>
  <c r="K38" i="1" s="1"/>
  <c r="AB20" i="36"/>
  <c r="AB22" i="36"/>
  <c r="U27" i="36"/>
  <c r="AA27" i="55" s="1"/>
  <c r="AB25" i="36"/>
  <c r="AN25" i="55" s="1"/>
  <c r="V27" i="36"/>
  <c r="AD27" i="36" s="1"/>
  <c r="AB28" i="36"/>
  <c r="U29" i="55"/>
  <c r="AC29" i="36"/>
  <c r="AQ29" i="55" s="1"/>
  <c r="U31" i="55"/>
  <c r="AN31" i="55"/>
  <c r="AQ33" i="55"/>
  <c r="AB4" i="36"/>
  <c r="AB10" i="36"/>
  <c r="AB12" i="36"/>
  <c r="AB16" i="36"/>
  <c r="AB18" i="36"/>
  <c r="AA33" i="55"/>
  <c r="AI3" i="38"/>
  <c r="AJ3" i="38" s="1"/>
  <c r="AK3" i="38" s="1"/>
  <c r="AL3" i="38" s="1"/>
  <c r="E12" i="1"/>
  <c r="E43" i="1" s="1"/>
  <c r="AB24" i="36"/>
  <c r="Y19" i="55"/>
  <c r="AU8" i="55"/>
  <c r="AS8" i="55"/>
  <c r="AJ8" i="75" s="1"/>
  <c r="AT8" i="55"/>
  <c r="AR8" i="55"/>
  <c r="AI8" i="36"/>
  <c r="AU16" i="55"/>
  <c r="AT16" i="55"/>
  <c r="AS16" i="55"/>
  <c r="AJ16" i="75" s="1"/>
  <c r="AR16" i="55"/>
  <c r="AI16" i="36"/>
  <c r="AN19" i="55"/>
  <c r="AL19" i="36"/>
  <c r="S32" i="55"/>
  <c r="Z32" i="55"/>
  <c r="BO33" i="55"/>
  <c r="BP33" i="55"/>
  <c r="AS10" i="55"/>
  <c r="AJ10" i="75" s="1"/>
  <c r="AR10" i="55"/>
  <c r="AU10" i="55"/>
  <c r="AT10" i="55"/>
  <c r="AI10" i="36"/>
  <c r="AY25" i="55"/>
  <c r="AP25" i="36"/>
  <c r="AO25" i="36"/>
  <c r="AN25" i="36"/>
  <c r="AO5" i="55"/>
  <c r="AH5" i="55"/>
  <c r="AH9" i="55"/>
  <c r="AO9" i="55"/>
  <c r="AY21" i="55"/>
  <c r="AP21" i="36"/>
  <c r="AO21" i="36"/>
  <c r="AN21" i="36"/>
  <c r="AY23" i="55"/>
  <c r="AP23" i="36"/>
  <c r="AO23" i="36"/>
  <c r="AN23" i="36"/>
  <c r="AR9" i="36"/>
  <c r="AC5" i="55"/>
  <c r="AF5" i="55"/>
  <c r="AE5" i="55"/>
  <c r="Y5" i="36"/>
  <c r="K6" i="55"/>
  <c r="D6" i="55"/>
  <c r="AJ7" i="55"/>
  <c r="AE7" i="36"/>
  <c r="K8" i="55"/>
  <c r="D8" i="55"/>
  <c r="AD9" i="55"/>
  <c r="AI9" i="75" s="1"/>
  <c r="AF9" i="55"/>
  <c r="AC9" i="55"/>
  <c r="Y9" i="36"/>
  <c r="AA16" i="55"/>
  <c r="X16" i="55"/>
  <c r="Y16" i="75" s="1"/>
  <c r="T16" i="55"/>
  <c r="AD17" i="55"/>
  <c r="AI17" i="75" s="1"/>
  <c r="AC17" i="55"/>
  <c r="AF17" i="55"/>
  <c r="Y17" i="36"/>
  <c r="AE17" i="55"/>
  <c r="AJ19" i="55"/>
  <c r="AE19" i="36"/>
  <c r="K20" i="55"/>
  <c r="D20" i="55"/>
  <c r="AA20" i="55"/>
  <c r="X20" i="55"/>
  <c r="Y20" i="75" s="1"/>
  <c r="T20" i="55"/>
  <c r="D21" i="55"/>
  <c r="K21" i="55"/>
  <c r="AF22" i="55"/>
  <c r="AD22" i="55"/>
  <c r="AI22" i="75" s="1"/>
  <c r="AE22" i="55"/>
  <c r="AC22" i="55"/>
  <c r="I23" i="55"/>
  <c r="X23" i="75" s="1"/>
  <c r="E23" i="55"/>
  <c r="L23" i="55"/>
  <c r="AL24" i="55"/>
  <c r="AK24" i="55"/>
  <c r="AH24" i="36"/>
  <c r="I25" i="55"/>
  <c r="X25" i="75" s="1"/>
  <c r="E25" i="55"/>
  <c r="L25" i="55"/>
  <c r="AK25" i="55"/>
  <c r="AL25" i="55"/>
  <c r="AL26" i="55"/>
  <c r="AK26" i="55"/>
  <c r="AH26" i="36"/>
  <c r="I27" i="55"/>
  <c r="X27" i="75" s="1"/>
  <c r="E27" i="55"/>
  <c r="L27" i="55"/>
  <c r="BA27" i="55"/>
  <c r="AZ27" i="55"/>
  <c r="AU28" i="55"/>
  <c r="AT28" i="55"/>
  <c r="AR28" i="55"/>
  <c r="AS28" i="55"/>
  <c r="AJ28" i="75" s="1"/>
  <c r="AI28" i="36"/>
  <c r="AB29" i="36"/>
  <c r="U30" i="55"/>
  <c r="V30" i="36"/>
  <c r="U30" i="36"/>
  <c r="AB30" i="55"/>
  <c r="AC30" i="36"/>
  <c r="X31" i="55"/>
  <c r="Y31" i="75" s="1"/>
  <c r="T31" i="55"/>
  <c r="E31" i="75" s="1"/>
  <c r="AA31" i="55"/>
  <c r="W32" i="55"/>
  <c r="V32" i="55"/>
  <c r="D33" i="55"/>
  <c r="K33" i="55"/>
  <c r="AD33" i="55"/>
  <c r="AI33" i="75" s="1"/>
  <c r="AC33" i="55"/>
  <c r="AF33" i="55"/>
  <c r="AE33" i="55"/>
  <c r="K4" i="55"/>
  <c r="AD5" i="55"/>
  <c r="AI5" i="75" s="1"/>
  <c r="AL20" i="55"/>
  <c r="AK20" i="55"/>
  <c r="AH20" i="36"/>
  <c r="U4" i="55"/>
  <c r="V4" i="36"/>
  <c r="Y4" i="36"/>
  <c r="U5" i="55"/>
  <c r="T5" i="36"/>
  <c r="AB5" i="36"/>
  <c r="AB6" i="55"/>
  <c r="AC6" i="36"/>
  <c r="U7" i="55"/>
  <c r="T7" i="36"/>
  <c r="AB7" i="36"/>
  <c r="U8" i="55"/>
  <c r="V8" i="36"/>
  <c r="U17" i="55"/>
  <c r="T17" i="36"/>
  <c r="AB17" i="36"/>
  <c r="AB18" i="55"/>
  <c r="AC18" i="36"/>
  <c r="U19" i="55"/>
  <c r="T19" i="36"/>
  <c r="AB20" i="55"/>
  <c r="AC20" i="36"/>
  <c r="AC15" i="19"/>
  <c r="H25" i="1" s="1"/>
  <c r="G25" i="1"/>
  <c r="C27" i="1"/>
  <c r="K17" i="19"/>
  <c r="D27" i="1" s="1"/>
  <c r="I28" i="1"/>
  <c r="AL18" i="19"/>
  <c r="J28" i="1" s="1"/>
  <c r="C31" i="1"/>
  <c r="K21" i="19"/>
  <c r="D31" i="1" s="1"/>
  <c r="K31" i="1"/>
  <c r="AU21" i="19"/>
  <c r="L31" i="1" s="1"/>
  <c r="I32" i="1"/>
  <c r="AL22" i="19"/>
  <c r="J32" i="1" s="1"/>
  <c r="AC23" i="19"/>
  <c r="H33" i="1" s="1"/>
  <c r="G33" i="1"/>
  <c r="AE9" i="55"/>
  <c r="AD4" i="55"/>
  <c r="AC4" i="55"/>
  <c r="AF4" i="55"/>
  <c r="AN4" i="75" s="1"/>
  <c r="X4" i="55"/>
  <c r="Y4" i="75" s="1"/>
  <c r="T4" i="55"/>
  <c r="AA4" i="55"/>
  <c r="D5" i="55"/>
  <c r="K5" i="55"/>
  <c r="AJ5" i="55"/>
  <c r="AE5" i="36"/>
  <c r="AC6" i="55"/>
  <c r="AE6" i="55"/>
  <c r="AF6" i="55"/>
  <c r="AD6" i="55"/>
  <c r="AI6" i="75" s="1"/>
  <c r="AA6" i="55"/>
  <c r="X6" i="55"/>
  <c r="Y6" i="75" s="1"/>
  <c r="T6" i="55"/>
  <c r="D7" i="55"/>
  <c r="K7" i="55"/>
  <c r="AF7" i="55"/>
  <c r="AN7" i="75" s="1"/>
  <c r="AD7" i="55"/>
  <c r="AI7" i="75" s="1"/>
  <c r="AC7" i="55"/>
  <c r="Y7" i="36"/>
  <c r="AD7" i="36"/>
  <c r="AE8" i="55"/>
  <c r="AC8" i="55"/>
  <c r="AF8" i="55"/>
  <c r="AD8" i="55"/>
  <c r="AI8" i="75" s="1"/>
  <c r="AA8" i="55"/>
  <c r="X8" i="55"/>
  <c r="Y8" i="75" s="1"/>
  <c r="T8" i="55"/>
  <c r="D9" i="55"/>
  <c r="K9" i="55"/>
  <c r="AJ9" i="55"/>
  <c r="AE9" i="36"/>
  <c r="D10" i="55"/>
  <c r="K10" i="55"/>
  <c r="AC10" i="55"/>
  <c r="AF10" i="55"/>
  <c r="AE10" i="55"/>
  <c r="X10" i="55"/>
  <c r="Y10" i="75" s="1"/>
  <c r="T10" i="55"/>
  <c r="AA10" i="55"/>
  <c r="D11" i="55"/>
  <c r="K11" i="55"/>
  <c r="AF11" i="55"/>
  <c r="AE11" i="55"/>
  <c r="AD11" i="55"/>
  <c r="AI11" i="75" s="1"/>
  <c r="AC11" i="55"/>
  <c r="Y11" i="36"/>
  <c r="AJ11" i="55"/>
  <c r="AE11" i="36"/>
  <c r="AD11" i="36"/>
  <c r="K12" i="55"/>
  <c r="D12" i="55"/>
  <c r="AE12" i="55"/>
  <c r="AD12" i="55"/>
  <c r="AI12" i="75" s="1"/>
  <c r="AC12" i="55"/>
  <c r="AF12" i="55"/>
  <c r="AA12" i="55"/>
  <c r="X12" i="55"/>
  <c r="Y12" i="75" s="1"/>
  <c r="T12" i="55"/>
  <c r="D13" i="55"/>
  <c r="K13" i="55"/>
  <c r="AD13" i="55"/>
  <c r="AI13" i="75" s="1"/>
  <c r="AC13" i="55"/>
  <c r="AF13" i="55"/>
  <c r="AE13" i="55"/>
  <c r="Y13" i="36"/>
  <c r="AJ13" i="55"/>
  <c r="AE13" i="36"/>
  <c r="AD13" i="36"/>
  <c r="D14" i="55"/>
  <c r="K14" i="55"/>
  <c r="AC14" i="55"/>
  <c r="AF14" i="55"/>
  <c r="AE14" i="55"/>
  <c r="AD14" i="55"/>
  <c r="AI14" i="75" s="1"/>
  <c r="X14" i="55"/>
  <c r="Y14" i="75" s="1"/>
  <c r="T14" i="55"/>
  <c r="AA14" i="55"/>
  <c r="D15" i="55"/>
  <c r="K15" i="55"/>
  <c r="AF15" i="55"/>
  <c r="AE15" i="55"/>
  <c r="AD15" i="55"/>
  <c r="AI15" i="75" s="1"/>
  <c r="AC15" i="55"/>
  <c r="Y15" i="36"/>
  <c r="AJ15" i="55"/>
  <c r="AE15" i="36"/>
  <c r="AD15" i="36"/>
  <c r="K16" i="55"/>
  <c r="D16" i="55"/>
  <c r="AE16" i="55"/>
  <c r="AD16" i="55"/>
  <c r="AI16" i="75" s="1"/>
  <c r="AC16" i="55"/>
  <c r="AF16" i="55"/>
  <c r="AJ17" i="55"/>
  <c r="AE17" i="36"/>
  <c r="AD17" i="36"/>
  <c r="D18" i="55"/>
  <c r="K18" i="55"/>
  <c r="AC18" i="55"/>
  <c r="AF18" i="55"/>
  <c r="AE18" i="55"/>
  <c r="X18" i="55"/>
  <c r="Y18" i="75" s="1"/>
  <c r="T18" i="55"/>
  <c r="AA18" i="55"/>
  <c r="D19" i="55"/>
  <c r="K19" i="55"/>
  <c r="AF19" i="55"/>
  <c r="AE19" i="55"/>
  <c r="AD19" i="55"/>
  <c r="AI19" i="75" s="1"/>
  <c r="AC19" i="55"/>
  <c r="Y19" i="36"/>
  <c r="AD19" i="36"/>
  <c r="AE20" i="55"/>
  <c r="AD20" i="55"/>
  <c r="AI20" i="75" s="1"/>
  <c r="AC20" i="55"/>
  <c r="AF20" i="55"/>
  <c r="AD21" i="55"/>
  <c r="AI21" i="75" s="1"/>
  <c r="AC21" i="55"/>
  <c r="AF21" i="55"/>
  <c r="AE21" i="55"/>
  <c r="Y21" i="36"/>
  <c r="AJ21" i="55"/>
  <c r="AE21" i="36"/>
  <c r="AD21" i="36"/>
  <c r="D22" i="55"/>
  <c r="K22" i="55"/>
  <c r="X22" i="55"/>
  <c r="Y22" i="75" s="1"/>
  <c r="T22" i="55"/>
  <c r="AA22" i="55"/>
  <c r="K23" i="55"/>
  <c r="D23" i="55"/>
  <c r="AE23" i="55"/>
  <c r="AC23" i="55"/>
  <c r="AF23" i="55"/>
  <c r="AD23" i="55"/>
  <c r="AI23" i="75" s="1"/>
  <c r="Y23" i="36"/>
  <c r="AJ23" i="55"/>
  <c r="AE23" i="36"/>
  <c r="AD23" i="36"/>
  <c r="D24" i="55"/>
  <c r="K24" i="55"/>
  <c r="AD24" i="55"/>
  <c r="AI24" i="75" s="1"/>
  <c r="AC24" i="55"/>
  <c r="AF24" i="55"/>
  <c r="AE24" i="55"/>
  <c r="X24" i="55"/>
  <c r="Y24" i="75" s="1"/>
  <c r="T24" i="55"/>
  <c r="AA24" i="55"/>
  <c r="D25" i="55"/>
  <c r="K25" i="55"/>
  <c r="AC25" i="55"/>
  <c r="AF25" i="55"/>
  <c r="AE25" i="55"/>
  <c r="AD25" i="55"/>
  <c r="AI25" i="75" s="1"/>
  <c r="Y25" i="36"/>
  <c r="AJ25" i="55"/>
  <c r="AE25" i="36"/>
  <c r="AD25" i="36"/>
  <c r="D26" i="55"/>
  <c r="K26" i="55"/>
  <c r="AF26" i="55"/>
  <c r="AE26" i="55"/>
  <c r="AD26" i="55"/>
  <c r="AI26" i="75" s="1"/>
  <c r="AC26" i="55"/>
  <c r="X26" i="55"/>
  <c r="Y26" i="75" s="1"/>
  <c r="T26" i="55"/>
  <c r="AA26" i="55"/>
  <c r="K27" i="55"/>
  <c r="D27" i="55"/>
  <c r="AE27" i="55"/>
  <c r="AD27" i="55"/>
  <c r="AI27" i="75" s="1"/>
  <c r="AC27" i="55"/>
  <c r="AF27" i="55"/>
  <c r="Y27" i="36"/>
  <c r="AE27" i="36"/>
  <c r="BP27" i="55"/>
  <c r="BO27" i="55"/>
  <c r="AL28" i="55"/>
  <c r="AK28" i="55"/>
  <c r="AH28" i="36"/>
  <c r="I29" i="55"/>
  <c r="X29" i="75" s="1"/>
  <c r="E29" i="55"/>
  <c r="L29" i="55"/>
  <c r="BA29" i="55"/>
  <c r="AZ29" i="55"/>
  <c r="AS30" i="55"/>
  <c r="AJ30" i="75" s="1"/>
  <c r="AR30" i="55"/>
  <c r="AU30" i="55"/>
  <c r="AT30" i="55"/>
  <c r="AI30" i="36"/>
  <c r="U32" i="55"/>
  <c r="AB32" i="55"/>
  <c r="D20" i="79"/>
  <c r="AL4" i="55"/>
  <c r="AK4" i="55"/>
  <c r="AH4" i="36"/>
  <c r="I5" i="55"/>
  <c r="X5" i="75" s="1"/>
  <c r="E5" i="55"/>
  <c r="L5" i="55"/>
  <c r="AK5" i="55"/>
  <c r="AL5" i="55"/>
  <c r="AF5" i="36"/>
  <c r="AK6" i="55"/>
  <c r="AL6" i="55"/>
  <c r="AH6" i="36"/>
  <c r="L7" i="55"/>
  <c r="I7" i="55"/>
  <c r="X7" i="75" s="1"/>
  <c r="E7" i="55"/>
  <c r="AF7" i="36"/>
  <c r="AK8" i="55"/>
  <c r="AL8" i="55"/>
  <c r="AH8" i="36"/>
  <c r="L9" i="55"/>
  <c r="I9" i="55"/>
  <c r="X9" i="75" s="1"/>
  <c r="E9" i="55"/>
  <c r="AF9" i="36"/>
  <c r="AK10" i="55"/>
  <c r="AL10" i="55"/>
  <c r="AH10" i="36"/>
  <c r="L11" i="55"/>
  <c r="E11" i="55"/>
  <c r="I11" i="55"/>
  <c r="X11" i="75" s="1"/>
  <c r="AL11" i="55"/>
  <c r="AK11" i="55"/>
  <c r="AF11" i="36"/>
  <c r="AL12" i="55"/>
  <c r="AK12" i="55"/>
  <c r="AH12" i="36"/>
  <c r="I13" i="55"/>
  <c r="X13" i="75" s="1"/>
  <c r="E13" i="55"/>
  <c r="L13" i="55"/>
  <c r="AF13" i="36"/>
  <c r="AK14" i="55"/>
  <c r="AL14" i="55"/>
  <c r="AH14" i="36"/>
  <c r="L15" i="55"/>
  <c r="I15" i="55"/>
  <c r="X15" i="75" s="1"/>
  <c r="E15" i="55"/>
  <c r="AL15" i="55"/>
  <c r="AK15" i="55"/>
  <c r="AF15" i="36"/>
  <c r="AL16" i="55"/>
  <c r="AK16" i="55"/>
  <c r="AH16" i="36"/>
  <c r="I17" i="55"/>
  <c r="X17" i="75" s="1"/>
  <c r="E17" i="55"/>
  <c r="L17" i="55"/>
  <c r="AL17" i="55"/>
  <c r="AK17" i="55"/>
  <c r="AF17" i="36"/>
  <c r="AK18" i="55"/>
  <c r="AL18" i="55"/>
  <c r="AH18" i="36"/>
  <c r="L19" i="55"/>
  <c r="E19" i="55"/>
  <c r="I19" i="55"/>
  <c r="X19" i="75" s="1"/>
  <c r="AL19" i="55"/>
  <c r="AK19" i="55"/>
  <c r="AF19" i="36"/>
  <c r="I21" i="55"/>
  <c r="X21" i="75" s="1"/>
  <c r="E21" i="55"/>
  <c r="L21" i="55"/>
  <c r="AL22" i="55"/>
  <c r="AK22" i="55"/>
  <c r="AH22" i="36"/>
  <c r="G50" i="38"/>
  <c r="D50" i="38"/>
  <c r="AB4" i="55"/>
  <c r="AC4" i="36"/>
  <c r="AH5" i="36"/>
  <c r="U6" i="55"/>
  <c r="V6" i="36"/>
  <c r="Y6" i="36"/>
  <c r="AB8" i="55"/>
  <c r="AC8" i="36"/>
  <c r="U9" i="55"/>
  <c r="T9" i="36"/>
  <c r="AB9" i="36"/>
  <c r="U10" i="55"/>
  <c r="V10" i="36"/>
  <c r="AB10" i="55"/>
  <c r="AC10" i="36"/>
  <c r="U11" i="55"/>
  <c r="T11" i="36"/>
  <c r="AB11" i="36"/>
  <c r="AH11" i="36"/>
  <c r="U12" i="55"/>
  <c r="V12" i="36"/>
  <c r="AB12" i="55"/>
  <c r="AC12" i="36"/>
  <c r="Y12" i="36"/>
  <c r="U13" i="55"/>
  <c r="T13" i="36"/>
  <c r="AB13" i="36"/>
  <c r="U14" i="55"/>
  <c r="V14" i="36"/>
  <c r="AB14" i="55"/>
  <c r="AC14" i="36"/>
  <c r="Y14" i="36"/>
  <c r="U15" i="55"/>
  <c r="T15" i="36"/>
  <c r="AB15" i="36"/>
  <c r="AH15" i="36"/>
  <c r="U16" i="55"/>
  <c r="V16" i="36"/>
  <c r="AC16" i="36"/>
  <c r="AB16" i="55"/>
  <c r="AH17" i="36"/>
  <c r="U18" i="55"/>
  <c r="V18" i="36"/>
  <c r="Y18" i="36"/>
  <c r="AH19" i="36"/>
  <c r="U20" i="55"/>
  <c r="V20" i="36"/>
  <c r="Y20" i="36"/>
  <c r="U21" i="55"/>
  <c r="T21" i="36"/>
  <c r="AB21" i="36"/>
  <c r="U22" i="55"/>
  <c r="V22" i="36"/>
  <c r="AB22" i="55"/>
  <c r="AC22" i="36"/>
  <c r="Y22" i="36"/>
  <c r="U23" i="55"/>
  <c r="T23" i="36"/>
  <c r="U24" i="55"/>
  <c r="V24" i="36"/>
  <c r="AB24" i="55"/>
  <c r="AC24" i="36"/>
  <c r="Y24" i="36"/>
  <c r="U25" i="55"/>
  <c r="T25" i="36"/>
  <c r="BA25" i="55"/>
  <c r="AZ25" i="55"/>
  <c r="U26" i="55"/>
  <c r="V26" i="36"/>
  <c r="AB26" i="55"/>
  <c r="AC26" i="36"/>
  <c r="Y26" i="36"/>
  <c r="U28" i="55"/>
  <c r="V28" i="36"/>
  <c r="U28" i="36"/>
  <c r="AB28" i="55"/>
  <c r="AC28" i="36"/>
  <c r="W30" i="55"/>
  <c r="V30" i="55"/>
  <c r="S30" i="55"/>
  <c r="Z30" i="55"/>
  <c r="D31" i="55"/>
  <c r="K31" i="55"/>
  <c r="AF31" i="55"/>
  <c r="AE31" i="55"/>
  <c r="AD31" i="55"/>
  <c r="AI31" i="75" s="1"/>
  <c r="AC31" i="55"/>
  <c r="BP31" i="55"/>
  <c r="BO31" i="55"/>
  <c r="AL32" i="55"/>
  <c r="AK32" i="55"/>
  <c r="I33" i="55"/>
  <c r="X33" i="75" s="1"/>
  <c r="E33" i="55"/>
  <c r="L33" i="55"/>
  <c r="BA33" i="55"/>
  <c r="AZ33" i="55"/>
  <c r="E26" i="1"/>
  <c r="T16" i="19"/>
  <c r="F26" i="1" s="1"/>
  <c r="K27" i="1"/>
  <c r="AU17" i="19"/>
  <c r="L27" i="1" s="1"/>
  <c r="AC19" i="19"/>
  <c r="H29" i="1" s="1"/>
  <c r="G29" i="1"/>
  <c r="E30" i="1"/>
  <c r="T20" i="19"/>
  <c r="F30" i="1" s="1"/>
  <c r="V4" i="55"/>
  <c r="W4" i="55"/>
  <c r="T4" i="36"/>
  <c r="U5" i="36"/>
  <c r="AC5" i="36"/>
  <c r="W6" i="55"/>
  <c r="V6" i="55"/>
  <c r="T6" i="36"/>
  <c r="U7" i="36"/>
  <c r="AC7" i="36"/>
  <c r="W8" i="55"/>
  <c r="V8" i="55"/>
  <c r="T8" i="36"/>
  <c r="U9" i="36"/>
  <c r="AC9" i="36"/>
  <c r="W10" i="55"/>
  <c r="V10" i="55"/>
  <c r="T10" i="36"/>
  <c r="U11" i="36"/>
  <c r="AC11" i="36"/>
  <c r="W12" i="55"/>
  <c r="V12" i="55"/>
  <c r="T12" i="36"/>
  <c r="U13" i="36"/>
  <c r="AC13" i="36"/>
  <c r="W14" i="55"/>
  <c r="V14" i="55"/>
  <c r="T14" i="36"/>
  <c r="U15" i="36"/>
  <c r="AC15" i="36"/>
  <c r="W16" i="55"/>
  <c r="V16" i="55"/>
  <c r="T16" i="36"/>
  <c r="U17" i="36"/>
  <c r="AC17" i="36"/>
  <c r="W18" i="55"/>
  <c r="V18" i="55"/>
  <c r="T18" i="36"/>
  <c r="U19" i="36"/>
  <c r="AC19" i="36"/>
  <c r="W20" i="55"/>
  <c r="V20" i="55"/>
  <c r="T20" i="36"/>
  <c r="U21" i="36"/>
  <c r="AC21" i="36"/>
  <c r="V22" i="55"/>
  <c r="W22" i="55"/>
  <c r="T22" i="36"/>
  <c r="U23" i="36"/>
  <c r="AC23" i="36"/>
  <c r="V24" i="55"/>
  <c r="W24" i="55"/>
  <c r="T24" i="36"/>
  <c r="U25" i="36"/>
  <c r="AC25" i="36"/>
  <c r="AR25" i="36"/>
  <c r="W26" i="55"/>
  <c r="V26" i="55"/>
  <c r="T26" i="36"/>
  <c r="W28" i="55"/>
  <c r="V28" i="55"/>
  <c r="T28" i="36"/>
  <c r="K29" i="55"/>
  <c r="D29" i="55"/>
  <c r="AD29" i="55"/>
  <c r="AI29" i="75" s="1"/>
  <c r="AC29" i="55"/>
  <c r="AF29" i="55"/>
  <c r="AE29" i="55"/>
  <c r="Y29" i="36"/>
  <c r="AJ29" i="55"/>
  <c r="AE29" i="36"/>
  <c r="AD29" i="36"/>
  <c r="AF29" i="36"/>
  <c r="AR29" i="36"/>
  <c r="X30" i="36"/>
  <c r="L31" i="55"/>
  <c r="E31" i="55"/>
  <c r="I31" i="55"/>
  <c r="X31" i="75" s="1"/>
  <c r="AZ31" i="55"/>
  <c r="BA31" i="55"/>
  <c r="AU32" i="55"/>
  <c r="AT32" i="55"/>
  <c r="AS32" i="55"/>
  <c r="AJ32" i="75" s="1"/>
  <c r="AR32" i="55"/>
  <c r="I50" i="38"/>
  <c r="H22" i="1"/>
  <c r="E24" i="1"/>
  <c r="T14" i="19"/>
  <c r="F24" i="1" s="1"/>
  <c r="K24" i="1"/>
  <c r="AU14" i="19"/>
  <c r="L24" i="1" s="1"/>
  <c r="AD10" i="55"/>
  <c r="AI10" i="75" s="1"/>
  <c r="K17" i="55"/>
  <c r="AL27" i="55"/>
  <c r="AK27" i="55"/>
  <c r="AL29" i="55"/>
  <c r="AK29" i="55"/>
  <c r="AC30" i="55"/>
  <c r="AF30" i="55"/>
  <c r="AE30" i="55"/>
  <c r="AD30" i="55"/>
  <c r="AI30" i="75" s="1"/>
  <c r="K32" i="55"/>
  <c r="D32" i="55"/>
  <c r="E22" i="1"/>
  <c r="L24" i="19"/>
  <c r="I22" i="1"/>
  <c r="AD24" i="19"/>
  <c r="K23" i="1"/>
  <c r="M23" i="1" s="1"/>
  <c r="B15" i="74" s="1"/>
  <c r="B15" i="79" s="1"/>
  <c r="AU13" i="19"/>
  <c r="L23" i="1" s="1"/>
  <c r="AL15" i="19"/>
  <c r="J25" i="1" s="1"/>
  <c r="I25" i="1"/>
  <c r="AC16" i="19"/>
  <c r="H26" i="1" s="1"/>
  <c r="G26" i="1"/>
  <c r="C28" i="1"/>
  <c r="K18" i="19"/>
  <c r="D28" i="1" s="1"/>
  <c r="K28" i="1"/>
  <c r="AU18" i="19"/>
  <c r="L28" i="1" s="1"/>
  <c r="AL19" i="19"/>
  <c r="J29" i="1" s="1"/>
  <c r="I29" i="1"/>
  <c r="AC20" i="19"/>
  <c r="H30" i="1" s="1"/>
  <c r="G30" i="1"/>
  <c r="C32" i="1"/>
  <c r="K22" i="19"/>
  <c r="D32" i="1" s="1"/>
  <c r="K32" i="1"/>
  <c r="AU22" i="19"/>
  <c r="L32" i="1" s="1"/>
  <c r="AL23" i="19"/>
  <c r="J33" i="1" s="1"/>
  <c r="I33" i="1"/>
  <c r="I40" i="1"/>
  <c r="AL29" i="19"/>
  <c r="J40" i="1" s="1"/>
  <c r="D12" i="74"/>
  <c r="D12" i="79" s="1"/>
  <c r="K28" i="55"/>
  <c r="D28" i="55"/>
  <c r="AE28" i="55"/>
  <c r="AD28" i="55"/>
  <c r="AI28" i="75" s="1"/>
  <c r="AF28" i="55"/>
  <c r="AC28" i="55"/>
  <c r="D30" i="55"/>
  <c r="K30" i="55"/>
  <c r="AL31" i="55"/>
  <c r="AK31" i="55"/>
  <c r="AE32" i="55"/>
  <c r="AD32" i="55"/>
  <c r="AI32" i="75" s="1"/>
  <c r="AC32" i="55"/>
  <c r="AF32" i="55"/>
  <c r="AL33" i="55"/>
  <c r="AK33" i="55"/>
  <c r="F33" i="55"/>
  <c r="H31" i="55"/>
  <c r="Q30" i="55"/>
  <c r="AM30" i="75" s="1"/>
  <c r="F29" i="55"/>
  <c r="Q33" i="55"/>
  <c r="AM33" i="75" s="1"/>
  <c r="F32" i="55"/>
  <c r="H30" i="55"/>
  <c r="Q29" i="55"/>
  <c r="AM29" i="75" s="1"/>
  <c r="F28" i="55"/>
  <c r="H33" i="55"/>
  <c r="Q32" i="55"/>
  <c r="AM32" i="75" s="1"/>
  <c r="F31" i="55"/>
  <c r="Q31" i="55"/>
  <c r="AM31" i="75" s="1"/>
  <c r="H26" i="55"/>
  <c r="Q25" i="55"/>
  <c r="AM25" i="75" s="1"/>
  <c r="F24" i="55"/>
  <c r="H32" i="55"/>
  <c r="Q28" i="55"/>
  <c r="AM28" i="75" s="1"/>
  <c r="H28" i="55"/>
  <c r="F27" i="55"/>
  <c r="H25" i="55"/>
  <c r="Q24" i="55"/>
  <c r="AM24" i="75" s="1"/>
  <c r="Q27" i="55"/>
  <c r="AM27" i="75" s="1"/>
  <c r="F26" i="55"/>
  <c r="H24" i="55"/>
  <c r="Q23" i="55"/>
  <c r="AM23" i="75" s="1"/>
  <c r="F22" i="55"/>
  <c r="H23" i="55"/>
  <c r="Q22" i="55"/>
  <c r="AM22" i="75" s="1"/>
  <c r="F21" i="55"/>
  <c r="H19" i="55"/>
  <c r="Q18" i="55"/>
  <c r="AM18" i="75" s="1"/>
  <c r="F17" i="55"/>
  <c r="H15" i="55"/>
  <c r="Q14" i="55"/>
  <c r="AM14" i="75" s="1"/>
  <c r="F13" i="55"/>
  <c r="H11" i="55"/>
  <c r="Q10" i="55"/>
  <c r="AM10" i="75" s="1"/>
  <c r="F9" i="55"/>
  <c r="H7" i="55"/>
  <c r="Q6" i="55"/>
  <c r="AM6" i="75" s="1"/>
  <c r="H29" i="55"/>
  <c r="Q26" i="55"/>
  <c r="AM26" i="75" s="1"/>
  <c r="F25" i="55"/>
  <c r="H22" i="55"/>
  <c r="Q21" i="55"/>
  <c r="AM21" i="75" s="1"/>
  <c r="F20" i="55"/>
  <c r="H18" i="55"/>
  <c r="Q17" i="55"/>
  <c r="AM17" i="75" s="1"/>
  <c r="F16" i="55"/>
  <c r="H14" i="55"/>
  <c r="Q13" i="55"/>
  <c r="AM13" i="75" s="1"/>
  <c r="F12" i="55"/>
  <c r="H10" i="55"/>
  <c r="F30" i="55"/>
  <c r="H27" i="55"/>
  <c r="F23" i="55"/>
  <c r="H21" i="55"/>
  <c r="Q20" i="55"/>
  <c r="AM20" i="75" s="1"/>
  <c r="F19" i="55"/>
  <c r="H17" i="55"/>
  <c r="Q16" i="55"/>
  <c r="AM16" i="75" s="1"/>
  <c r="F15" i="55"/>
  <c r="H13" i="55"/>
  <c r="Q12" i="55"/>
  <c r="AM12" i="75" s="1"/>
  <c r="F11" i="55"/>
  <c r="H9" i="55"/>
  <c r="Q8" i="55"/>
  <c r="AM8" i="75" s="1"/>
  <c r="F7" i="55"/>
  <c r="H16" i="55"/>
  <c r="F8" i="55"/>
  <c r="F6" i="55"/>
  <c r="Q5" i="55"/>
  <c r="AM5" i="75" s="1"/>
  <c r="F4" i="55"/>
  <c r="Q19" i="55"/>
  <c r="AM19" i="75" s="1"/>
  <c r="F18" i="55"/>
  <c r="Q11" i="55"/>
  <c r="AM11" i="75" s="1"/>
  <c r="F10" i="55"/>
  <c r="H5" i="55"/>
  <c r="Q4" i="55"/>
  <c r="AM4" i="75" s="1"/>
  <c r="H20" i="55"/>
  <c r="H12" i="55"/>
  <c r="Q9" i="55"/>
  <c r="AM9" i="75" s="1"/>
  <c r="H8" i="55"/>
  <c r="Q7" i="55"/>
  <c r="AM7" i="75" s="1"/>
  <c r="H6" i="55"/>
  <c r="H4" i="55"/>
  <c r="I4" i="55"/>
  <c r="E4" i="55"/>
  <c r="L4" i="55"/>
  <c r="W5" i="55"/>
  <c r="I6" i="55"/>
  <c r="X6" i="75" s="1"/>
  <c r="E6" i="55"/>
  <c r="L6" i="55"/>
  <c r="I8" i="55"/>
  <c r="X8" i="75" s="1"/>
  <c r="E8" i="55"/>
  <c r="L8" i="55"/>
  <c r="I10" i="55"/>
  <c r="X10" i="75" s="1"/>
  <c r="E10" i="55"/>
  <c r="L10" i="55"/>
  <c r="W11" i="55"/>
  <c r="V11" i="55"/>
  <c r="I12" i="55"/>
  <c r="X12" i="75" s="1"/>
  <c r="E12" i="55"/>
  <c r="L12" i="55"/>
  <c r="I14" i="55"/>
  <c r="X14" i="75" s="1"/>
  <c r="E14" i="55"/>
  <c r="L14" i="55"/>
  <c r="W15" i="55"/>
  <c r="V15" i="55"/>
  <c r="I16" i="55"/>
  <c r="X16" i="75" s="1"/>
  <c r="E16" i="55"/>
  <c r="L16" i="55"/>
  <c r="V17" i="55"/>
  <c r="W17" i="55"/>
  <c r="I18" i="55"/>
  <c r="X18" i="75" s="1"/>
  <c r="E18" i="55"/>
  <c r="L18" i="55"/>
  <c r="W19" i="55"/>
  <c r="V19" i="55"/>
  <c r="I20" i="55"/>
  <c r="X20" i="75" s="1"/>
  <c r="E20" i="55"/>
  <c r="L20" i="55"/>
  <c r="I22" i="55"/>
  <c r="X22" i="75" s="1"/>
  <c r="L22" i="55"/>
  <c r="E22" i="55"/>
  <c r="W23" i="55"/>
  <c r="I24" i="55"/>
  <c r="X24" i="75" s="1"/>
  <c r="E24" i="55"/>
  <c r="L24" i="55"/>
  <c r="W25" i="55"/>
  <c r="V25" i="55"/>
  <c r="L26" i="55"/>
  <c r="E26" i="55"/>
  <c r="D26" i="75" s="1"/>
  <c r="I26" i="55"/>
  <c r="X26" i="75" s="1"/>
  <c r="W27" i="55"/>
  <c r="V27" i="55"/>
  <c r="T27" i="36"/>
  <c r="I28" i="55"/>
  <c r="X28" i="75" s="1"/>
  <c r="L28" i="55"/>
  <c r="E28" i="55"/>
  <c r="V29" i="55"/>
  <c r="W29" i="55"/>
  <c r="T29" i="36"/>
  <c r="I30" i="55"/>
  <c r="X30" i="75" s="1"/>
  <c r="E30" i="55"/>
  <c r="L30" i="55"/>
  <c r="W31" i="55"/>
  <c r="V31" i="55"/>
  <c r="I32" i="55"/>
  <c r="X32" i="75" s="1"/>
  <c r="E32" i="55"/>
  <c r="L32" i="55"/>
  <c r="V33" i="55"/>
  <c r="W33" i="55"/>
  <c r="T4" i="19"/>
  <c r="F14" i="1" s="1"/>
  <c r="AL4" i="19"/>
  <c r="J14" i="1" s="1"/>
  <c r="K5" i="19"/>
  <c r="D15" i="1" s="1"/>
  <c r="AC5" i="19"/>
  <c r="H15" i="1" s="1"/>
  <c r="AU5" i="19"/>
  <c r="L15" i="1" s="1"/>
  <c r="K7" i="19"/>
  <c r="D17" i="1" s="1"/>
  <c r="AC7" i="19"/>
  <c r="H17" i="1" s="1"/>
  <c r="T8" i="19"/>
  <c r="F18" i="1" s="1"/>
  <c r="AL8" i="19"/>
  <c r="J18" i="1" s="1"/>
  <c r="K9" i="19"/>
  <c r="D19" i="1" s="1"/>
  <c r="AC9" i="19"/>
  <c r="H19" i="1" s="1"/>
  <c r="AU9" i="19"/>
  <c r="L19" i="1" s="1"/>
  <c r="T10" i="19"/>
  <c r="F20" i="1" s="1"/>
  <c r="AL10" i="19"/>
  <c r="J20" i="1" s="1"/>
  <c r="K11" i="19"/>
  <c r="D21" i="1" s="1"/>
  <c r="AC11" i="19"/>
  <c r="H21" i="1" s="1"/>
  <c r="T12" i="19"/>
  <c r="AL12" i="19"/>
  <c r="K13" i="19"/>
  <c r="D23" i="1" s="1"/>
  <c r="AC13" i="19"/>
  <c r="H23" i="1" s="1"/>
  <c r="I26" i="1"/>
  <c r="AL16" i="19"/>
  <c r="J26" i="1" s="1"/>
  <c r="G27" i="1"/>
  <c r="AC17" i="19"/>
  <c r="H27" i="1" s="1"/>
  <c r="E28" i="1"/>
  <c r="T18" i="19"/>
  <c r="F28" i="1" s="1"/>
  <c r="I30" i="1"/>
  <c r="AL20" i="19"/>
  <c r="J30" i="1" s="1"/>
  <c r="G31" i="1"/>
  <c r="AC21" i="19"/>
  <c r="H31" i="1" s="1"/>
  <c r="E32" i="1"/>
  <c r="T22" i="19"/>
  <c r="F32" i="1" s="1"/>
  <c r="C25" i="1"/>
  <c r="E27" i="1"/>
  <c r="C29" i="1"/>
  <c r="E31" i="1"/>
  <c r="C33" i="1"/>
  <c r="F5" i="55"/>
  <c r="V5" i="55"/>
  <c r="W13" i="55"/>
  <c r="Q15" i="55"/>
  <c r="AM15" i="75" s="1"/>
  <c r="W21" i="55"/>
  <c r="K14" i="19"/>
  <c r="D24" i="1" s="1"/>
  <c r="I24" i="1"/>
  <c r="AL14" i="19"/>
  <c r="J24" i="1" s="1"/>
  <c r="T15" i="19"/>
  <c r="F25" i="1" s="1"/>
  <c r="E25" i="1"/>
  <c r="K16" i="19"/>
  <c r="D26" i="1" s="1"/>
  <c r="C26" i="1"/>
  <c r="AU16" i="19"/>
  <c r="L26" i="1" s="1"/>
  <c r="K26" i="1"/>
  <c r="G28" i="1"/>
  <c r="AC18" i="19"/>
  <c r="H28" i="1" s="1"/>
  <c r="T19" i="19"/>
  <c r="F29" i="1" s="1"/>
  <c r="E29" i="1"/>
  <c r="K20" i="19"/>
  <c r="D30" i="1" s="1"/>
  <c r="C30" i="1"/>
  <c r="AU20" i="19"/>
  <c r="L30" i="1" s="1"/>
  <c r="K30" i="1"/>
  <c r="G32" i="1"/>
  <c r="AC22" i="19"/>
  <c r="H32" i="1" s="1"/>
  <c r="T23" i="19"/>
  <c r="F33" i="1" s="1"/>
  <c r="E33" i="1"/>
  <c r="C24" i="19"/>
  <c r="U24" i="19"/>
  <c r="AM24" i="19"/>
  <c r="E40" i="1"/>
  <c r="T29" i="19"/>
  <c r="F40" i="1" s="1"/>
  <c r="C32" i="19"/>
  <c r="I27" i="1"/>
  <c r="I31" i="1"/>
  <c r="W7" i="55"/>
  <c r="W9" i="55"/>
  <c r="F14" i="55"/>
  <c r="AC14" i="75"/>
  <c r="C40" i="1"/>
  <c r="G40" i="1"/>
  <c r="K40" i="1"/>
  <c r="C12" i="74"/>
  <c r="C12" i="79" s="1"/>
  <c r="C18" i="74"/>
  <c r="C18" i="79" s="1"/>
  <c r="C24" i="74"/>
  <c r="C30" i="74"/>
  <c r="C30" i="79" s="1"/>
  <c r="J3" i="75"/>
  <c r="O3" i="75" s="1"/>
  <c r="T3" i="75" s="1"/>
  <c r="Y3" i="75" s="1"/>
  <c r="AD3" i="75" s="1"/>
  <c r="AI3" i="75" s="1"/>
  <c r="AN3" i="75" s="1"/>
  <c r="F3" i="75"/>
  <c r="AC33" i="75"/>
  <c r="B4" i="79" l="1"/>
  <c r="D7" i="81"/>
  <c r="C7" i="81"/>
  <c r="N40" i="1"/>
  <c r="L27" i="19"/>
  <c r="D28" i="75"/>
  <c r="D24" i="75"/>
  <c r="D18" i="75"/>
  <c r="AY41" i="36"/>
  <c r="AO32" i="36"/>
  <c r="AO36" i="36"/>
  <c r="AP32" i="36"/>
  <c r="AY32" i="36" s="1"/>
  <c r="D30" i="75"/>
  <c r="D22" i="75"/>
  <c r="D20" i="75"/>
  <c r="D8" i="75"/>
  <c r="AL23" i="36"/>
  <c r="D16" i="75"/>
  <c r="AP36" i="36"/>
  <c r="AX36" i="36" s="1"/>
  <c r="D32" i="75"/>
  <c r="M22" i="1"/>
  <c r="B14" i="74" s="1"/>
  <c r="N20" i="1"/>
  <c r="E10" i="74" s="1"/>
  <c r="E10" i="79" s="1"/>
  <c r="N29" i="1"/>
  <c r="E23" i="74" s="1"/>
  <c r="E23" i="79" s="1"/>
  <c r="N33" i="1"/>
  <c r="E29" i="74" s="1"/>
  <c r="E29" i="79" s="1"/>
  <c r="N25" i="1"/>
  <c r="E17" i="74" s="1"/>
  <c r="E17" i="79" s="1"/>
  <c r="D12" i="75"/>
  <c r="D31" i="75"/>
  <c r="D10" i="75"/>
  <c r="D33" i="75"/>
  <c r="K34" i="1"/>
  <c r="M40" i="1"/>
  <c r="D6" i="75"/>
  <c r="G34" i="1"/>
  <c r="N18" i="1"/>
  <c r="E8" i="74" s="1"/>
  <c r="E8" i="79" s="1"/>
  <c r="M24" i="1"/>
  <c r="B16" i="74" s="1"/>
  <c r="B16" i="79" s="1"/>
  <c r="N30" i="1"/>
  <c r="E26" i="74" s="1"/>
  <c r="E26" i="79" s="1"/>
  <c r="N26" i="1"/>
  <c r="E20" i="74" s="1"/>
  <c r="E20" i="79" s="1"/>
  <c r="N32" i="1"/>
  <c r="E28" i="74" s="1"/>
  <c r="E28" i="79" s="1"/>
  <c r="M33" i="1"/>
  <c r="B29" i="74" s="1"/>
  <c r="B29" i="79" s="1"/>
  <c r="M25" i="1"/>
  <c r="B17" i="74" s="1"/>
  <c r="B17" i="79" s="1"/>
  <c r="N17" i="1"/>
  <c r="E7" i="74" s="1"/>
  <c r="E7" i="79" s="1"/>
  <c r="D17" i="75"/>
  <c r="D15" i="75"/>
  <c r="D13" i="75"/>
  <c r="D5" i="75"/>
  <c r="E24" i="75"/>
  <c r="E18" i="75"/>
  <c r="E8" i="75"/>
  <c r="D23" i="75"/>
  <c r="E20" i="75"/>
  <c r="E16" i="75"/>
  <c r="D14" i="75"/>
  <c r="D21" i="75"/>
  <c r="D11" i="75"/>
  <c r="D29" i="75"/>
  <c r="E26" i="75"/>
  <c r="E12" i="75"/>
  <c r="E10" i="75"/>
  <c r="D7" i="75"/>
  <c r="E6" i="75"/>
  <c r="E4" i="75"/>
  <c r="D27" i="75"/>
  <c r="D25" i="75"/>
  <c r="D4" i="75"/>
  <c r="D19" i="75"/>
  <c r="D9" i="75"/>
  <c r="E22" i="75"/>
  <c r="E14" i="75"/>
  <c r="AN34" i="36"/>
  <c r="AP34" i="36"/>
  <c r="AO34" i="36"/>
  <c r="AX32" i="36"/>
  <c r="AN38" i="36"/>
  <c r="AO38" i="36"/>
  <c r="AP38" i="36"/>
  <c r="AP35" i="36"/>
  <c r="AO35" i="36"/>
  <c r="AN35" i="36"/>
  <c r="AN31" i="36"/>
  <c r="AP31" i="36"/>
  <c r="AO31" i="36"/>
  <c r="AP39" i="36"/>
  <c r="AO39" i="36"/>
  <c r="AN39" i="36"/>
  <c r="AJ31" i="55"/>
  <c r="I4" i="75"/>
  <c r="K40" i="19"/>
  <c r="D51" i="1" s="1"/>
  <c r="AL27" i="36"/>
  <c r="BC27" i="55" s="1"/>
  <c r="AL13" i="55"/>
  <c r="AK7" i="55"/>
  <c r="AH7" i="36"/>
  <c r="AR7" i="36" s="1"/>
  <c r="AZ23" i="55"/>
  <c r="AH33" i="55"/>
  <c r="AL23" i="55"/>
  <c r="BC31" i="55"/>
  <c r="R17" i="55"/>
  <c r="T27" i="55"/>
  <c r="E27" i="75" s="1"/>
  <c r="AH13" i="36"/>
  <c r="AZ13" i="55" s="1"/>
  <c r="X27" i="55"/>
  <c r="Y27" i="75" s="1"/>
  <c r="AK21" i="55"/>
  <c r="T33" i="55"/>
  <c r="E33" i="75" s="1"/>
  <c r="AP33" i="55"/>
  <c r="AH21" i="36"/>
  <c r="BA21" i="55" s="1"/>
  <c r="X33" i="55"/>
  <c r="Y33" i="75" s="1"/>
  <c r="AJ33" i="55"/>
  <c r="R31" i="55"/>
  <c r="R11" i="55"/>
  <c r="AA29" i="55"/>
  <c r="AN11" i="75"/>
  <c r="AM29" i="36"/>
  <c r="AW29" i="36" s="1"/>
  <c r="BU29" i="55" s="1"/>
  <c r="AZ9" i="55"/>
  <c r="T29" i="55"/>
  <c r="E29" i="75" s="1"/>
  <c r="AL25" i="36"/>
  <c r="BC25" i="55" s="1"/>
  <c r="R19" i="55"/>
  <c r="N17" i="75"/>
  <c r="AK9" i="55"/>
  <c r="R5" i="55"/>
  <c r="AL26" i="36"/>
  <c r="BC26" i="55" s="1"/>
  <c r="AL9" i="55"/>
  <c r="AO30" i="75"/>
  <c r="AN15" i="75"/>
  <c r="AN14" i="75"/>
  <c r="U2" i="19"/>
  <c r="R10" i="55"/>
  <c r="R33" i="55"/>
  <c r="AO32" i="75"/>
  <c r="AR23" i="36"/>
  <c r="BO23" i="55" s="1"/>
  <c r="R21" i="55"/>
  <c r="R26" i="55"/>
  <c r="AN23" i="75"/>
  <c r="AN21" i="75"/>
  <c r="AN19" i="75"/>
  <c r="AQ31" i="55"/>
  <c r="R28" i="55"/>
  <c r="R16" i="55"/>
  <c r="R32" i="55"/>
  <c r="G12" i="1"/>
  <c r="G43" i="1" s="1"/>
  <c r="R9" i="55"/>
  <c r="S4" i="75"/>
  <c r="AN29" i="75"/>
  <c r="AN27" i="75"/>
  <c r="AN26" i="75"/>
  <c r="AK23" i="55"/>
  <c r="R27" i="55"/>
  <c r="AJ27" i="55"/>
  <c r="AN9" i="75"/>
  <c r="AN5" i="75"/>
  <c r="AN12" i="55"/>
  <c r="AL12" i="36"/>
  <c r="AN32" i="55"/>
  <c r="R14" i="55"/>
  <c r="AN16" i="55"/>
  <c r="AL16" i="36"/>
  <c r="AN20" i="55"/>
  <c r="AL20" i="36"/>
  <c r="AQ27" i="55"/>
  <c r="AM27" i="36"/>
  <c r="C5" i="1"/>
  <c r="AF27" i="36"/>
  <c r="AN27" i="36" s="1"/>
  <c r="R15" i="55"/>
  <c r="R13" i="55"/>
  <c r="R7" i="55"/>
  <c r="C4" i="1"/>
  <c r="AN22" i="75"/>
  <c r="AN17" i="75"/>
  <c r="AO8" i="75"/>
  <c r="AN24" i="55"/>
  <c r="AL24" i="36"/>
  <c r="AN10" i="55"/>
  <c r="AL10" i="36"/>
  <c r="AN14" i="55"/>
  <c r="AL14" i="36"/>
  <c r="AN6" i="55"/>
  <c r="AL6" i="36"/>
  <c r="S17" i="75"/>
  <c r="C39" i="19"/>
  <c r="K39" i="19" s="1"/>
  <c r="D50" i="1" s="1"/>
  <c r="N4" i="75"/>
  <c r="I17" i="75"/>
  <c r="R25" i="55"/>
  <c r="R20" i="55"/>
  <c r="AN18" i="55"/>
  <c r="AL18" i="36"/>
  <c r="AN4" i="55"/>
  <c r="AL4" i="36"/>
  <c r="AN28" i="55"/>
  <c r="AL28" i="36"/>
  <c r="AN22" i="55"/>
  <c r="AL22" i="36"/>
  <c r="AN30" i="55"/>
  <c r="AL30" i="36"/>
  <c r="AN8" i="55"/>
  <c r="AL8" i="36"/>
  <c r="C41" i="19"/>
  <c r="Z33" i="55"/>
  <c r="S33" i="55"/>
  <c r="Z29" i="55"/>
  <c r="S29" i="55"/>
  <c r="X4" i="75"/>
  <c r="C36" i="19" s="1"/>
  <c r="C6" i="1"/>
  <c r="AE32" i="75"/>
  <c r="AH29" i="55"/>
  <c r="AO29" i="55"/>
  <c r="AQ21" i="55"/>
  <c r="AM21" i="36"/>
  <c r="S16" i="55"/>
  <c r="Z16" i="55"/>
  <c r="AQ13" i="55"/>
  <c r="AM13" i="36"/>
  <c r="E5" i="1"/>
  <c r="N31" i="75"/>
  <c r="I31" i="75"/>
  <c r="S31" i="75"/>
  <c r="AQ28" i="55"/>
  <c r="AM28" i="36"/>
  <c r="AJ26" i="55"/>
  <c r="AF26" i="36"/>
  <c r="AD26" i="36"/>
  <c r="AE26" i="36"/>
  <c r="AQ22" i="55"/>
  <c r="AM22" i="36"/>
  <c r="AU20" i="55"/>
  <c r="AT20" i="55"/>
  <c r="AS20" i="55"/>
  <c r="AJ20" i="75" s="1"/>
  <c r="AR20" i="55"/>
  <c r="AI20" i="36"/>
  <c r="AZ15" i="55"/>
  <c r="BA15" i="55"/>
  <c r="AR15" i="36"/>
  <c r="AZ22" i="55"/>
  <c r="BA22" i="55"/>
  <c r="AR22" i="36"/>
  <c r="D34" i="1"/>
  <c r="AD27" i="75"/>
  <c r="AU23" i="55"/>
  <c r="AT23" i="55"/>
  <c r="AS23" i="55"/>
  <c r="AJ23" i="75" s="1"/>
  <c r="AR23" i="55"/>
  <c r="AI23" i="36"/>
  <c r="AH15" i="55"/>
  <c r="AO15" i="55"/>
  <c r="AP13" i="55"/>
  <c r="AI13" i="55"/>
  <c r="AM13" i="55"/>
  <c r="I12" i="75"/>
  <c r="N12" i="75"/>
  <c r="S12" i="75"/>
  <c r="AP9" i="55"/>
  <c r="AI9" i="55"/>
  <c r="AM9" i="55"/>
  <c r="AD6" i="75"/>
  <c r="AN7" i="55"/>
  <c r="AL7" i="36"/>
  <c r="AT4" i="55"/>
  <c r="AS4" i="55"/>
  <c r="AJ4" i="75" s="1"/>
  <c r="AR4" i="55"/>
  <c r="AU4" i="55"/>
  <c r="AI4" i="36"/>
  <c r="AY33" i="55"/>
  <c r="AT33" i="55"/>
  <c r="AS33" i="55"/>
  <c r="AJ33" i="75" s="1"/>
  <c r="AU33" i="55"/>
  <c r="AR33" i="55"/>
  <c r="BG28" i="55"/>
  <c r="BJ28" i="55"/>
  <c r="BH28" i="55"/>
  <c r="AK28" i="75" s="1"/>
  <c r="BI28" i="55"/>
  <c r="AS28" i="36"/>
  <c r="AT17" i="55"/>
  <c r="AS17" i="55"/>
  <c r="AJ17" i="75" s="1"/>
  <c r="AR17" i="55"/>
  <c r="AU17" i="55"/>
  <c r="AI17" i="36"/>
  <c r="AD9" i="75"/>
  <c r="AD5" i="75"/>
  <c r="BN23" i="55"/>
  <c r="AY23" i="36"/>
  <c r="AX23" i="36"/>
  <c r="BN21" i="55"/>
  <c r="AY21" i="36"/>
  <c r="AX21" i="36"/>
  <c r="BN25" i="55"/>
  <c r="AY25" i="36"/>
  <c r="AX25" i="36"/>
  <c r="BC19" i="55"/>
  <c r="AV19" i="36"/>
  <c r="BR19" i="55" s="1"/>
  <c r="AE8" i="75"/>
  <c r="C24" i="79"/>
  <c r="C31" i="74"/>
  <c r="C31" i="79" s="1"/>
  <c r="N24" i="1"/>
  <c r="E16" i="74" s="1"/>
  <c r="E16" i="79" s="1"/>
  <c r="N23" i="1"/>
  <c r="E15" i="74" s="1"/>
  <c r="E15" i="79" s="1"/>
  <c r="N21" i="1"/>
  <c r="E11" i="74" s="1"/>
  <c r="E11" i="79" s="1"/>
  <c r="N15" i="1"/>
  <c r="E5" i="74" s="1"/>
  <c r="E5" i="79" s="1"/>
  <c r="AN32" i="75"/>
  <c r="S30" i="75"/>
  <c r="N30" i="75"/>
  <c r="I30" i="75"/>
  <c r="R30" i="55"/>
  <c r="AN28" i="75"/>
  <c r="M32" i="1"/>
  <c r="B28" i="74" s="1"/>
  <c r="B28" i="79" s="1"/>
  <c r="M28" i="1"/>
  <c r="B22" i="74" s="1"/>
  <c r="B22" i="79" s="1"/>
  <c r="I34" i="1"/>
  <c r="AD30" i="75"/>
  <c r="AC24" i="19"/>
  <c r="AN33" i="55"/>
  <c r="AK30" i="55"/>
  <c r="AL30" i="55"/>
  <c r="AH30" i="36"/>
  <c r="AP29" i="55"/>
  <c r="AM29" i="55"/>
  <c r="AI29" i="55"/>
  <c r="F29" i="75" s="1"/>
  <c r="S26" i="55"/>
  <c r="Z26" i="55"/>
  <c r="AQ25" i="55"/>
  <c r="AM25" i="36"/>
  <c r="Z22" i="55"/>
  <c r="S22" i="55"/>
  <c r="X21" i="55"/>
  <c r="Y21" i="75" s="1"/>
  <c r="T21" i="55"/>
  <c r="E21" i="75" s="1"/>
  <c r="AA21" i="55"/>
  <c r="AQ19" i="55"/>
  <c r="AM19" i="36"/>
  <c r="S14" i="55"/>
  <c r="Z14" i="55"/>
  <c r="X13" i="55"/>
  <c r="Y13" i="75" s="1"/>
  <c r="T13" i="55"/>
  <c r="E13" i="75" s="1"/>
  <c r="AA13" i="55"/>
  <c r="AQ11" i="55"/>
  <c r="AM11" i="36"/>
  <c r="S6" i="55"/>
  <c r="Z6" i="55"/>
  <c r="X5" i="55"/>
  <c r="Y5" i="75" s="1"/>
  <c r="T5" i="55"/>
  <c r="E5" i="75" s="1"/>
  <c r="AA5" i="55"/>
  <c r="AU24" i="19"/>
  <c r="BA32" i="55"/>
  <c r="AZ32" i="55"/>
  <c r="AN31" i="75"/>
  <c r="AR26" i="55"/>
  <c r="AU26" i="55"/>
  <c r="AT26" i="55"/>
  <c r="AS26" i="55"/>
  <c r="AJ26" i="75" s="1"/>
  <c r="AI26" i="36"/>
  <c r="AQ24" i="55"/>
  <c r="AM24" i="36"/>
  <c r="S23" i="55"/>
  <c r="Z23" i="55"/>
  <c r="AN21" i="55"/>
  <c r="AL21" i="36"/>
  <c r="AF20" i="36"/>
  <c r="AE20" i="36"/>
  <c r="AJ20" i="55"/>
  <c r="AD20" i="36"/>
  <c r="AJ18" i="55"/>
  <c r="AE18" i="36"/>
  <c r="AD18" i="36"/>
  <c r="AF18" i="36"/>
  <c r="AQ16" i="55"/>
  <c r="AM16" i="36"/>
  <c r="AN15" i="55"/>
  <c r="AL15" i="36"/>
  <c r="AQ14" i="55"/>
  <c r="AM14" i="36"/>
  <c r="AU12" i="55"/>
  <c r="AT12" i="55"/>
  <c r="AS12" i="55"/>
  <c r="AJ12" i="75" s="1"/>
  <c r="AR12" i="55"/>
  <c r="AI12" i="36"/>
  <c r="AQ8" i="55"/>
  <c r="AM8" i="36"/>
  <c r="AJ6" i="55"/>
  <c r="AE6" i="36"/>
  <c r="AD6" i="36"/>
  <c r="AF6" i="36"/>
  <c r="AY19" i="55"/>
  <c r="AP19" i="36"/>
  <c r="AN19" i="36"/>
  <c r="AO19" i="36"/>
  <c r="AY15" i="55"/>
  <c r="AP15" i="36"/>
  <c r="AO15" i="36"/>
  <c r="AN15" i="36"/>
  <c r="AY11" i="55"/>
  <c r="AP11" i="36"/>
  <c r="AO11" i="36"/>
  <c r="AN11" i="36"/>
  <c r="AY7" i="55"/>
  <c r="AP7" i="36"/>
  <c r="AN7" i="36"/>
  <c r="AO7" i="36"/>
  <c r="AZ28" i="55"/>
  <c r="BA28" i="55"/>
  <c r="AR28" i="36"/>
  <c r="S26" i="75"/>
  <c r="N26" i="75"/>
  <c r="I26" i="75"/>
  <c r="AS25" i="55"/>
  <c r="AJ25" i="75" s="1"/>
  <c r="AR25" i="55"/>
  <c r="AU25" i="55"/>
  <c r="AT25" i="55"/>
  <c r="AI25" i="36"/>
  <c r="AD25" i="75"/>
  <c r="AD24" i="75"/>
  <c r="AH23" i="55"/>
  <c r="AO23" i="55"/>
  <c r="S23" i="75"/>
  <c r="N23" i="75"/>
  <c r="I23" i="75"/>
  <c r="R23" i="55"/>
  <c r="AM21" i="55"/>
  <c r="AP21" i="55"/>
  <c r="AI21" i="55"/>
  <c r="AD20" i="75"/>
  <c r="AR19" i="55"/>
  <c r="AU19" i="55"/>
  <c r="AT19" i="55"/>
  <c r="AS19" i="55"/>
  <c r="AJ19" i="75" s="1"/>
  <c r="AI19" i="36"/>
  <c r="AD18" i="75"/>
  <c r="AP17" i="55"/>
  <c r="AM17" i="55"/>
  <c r="AI17" i="55"/>
  <c r="F17" i="75" s="1"/>
  <c r="AN16" i="75"/>
  <c r="AM15" i="55"/>
  <c r="AI15" i="55"/>
  <c r="F15" i="75" s="1"/>
  <c r="AP15" i="55"/>
  <c r="N15" i="75"/>
  <c r="I15" i="75"/>
  <c r="S15" i="75"/>
  <c r="AD13" i="75"/>
  <c r="AD12" i="75"/>
  <c r="AR11" i="55"/>
  <c r="AU11" i="55"/>
  <c r="AT11" i="55"/>
  <c r="AS11" i="55"/>
  <c r="AJ11" i="75" s="1"/>
  <c r="AI11" i="36"/>
  <c r="AD10" i="75"/>
  <c r="AD8" i="75"/>
  <c r="AD7" i="75"/>
  <c r="S7" i="75"/>
  <c r="N7" i="75"/>
  <c r="I7" i="75"/>
  <c r="AM5" i="55"/>
  <c r="AI5" i="55"/>
  <c r="AP5" i="55"/>
  <c r="AD4" i="75"/>
  <c r="E8" i="1"/>
  <c r="N31" i="1"/>
  <c r="E27" i="74" s="1"/>
  <c r="E27" i="79" s="1"/>
  <c r="N27" i="1"/>
  <c r="E21" i="74" s="1"/>
  <c r="E21" i="79" s="1"/>
  <c r="AQ20" i="55"/>
  <c r="AM20" i="36"/>
  <c r="AQ18" i="55"/>
  <c r="AM18" i="36"/>
  <c r="Z7" i="55"/>
  <c r="S7" i="55"/>
  <c r="AN5" i="55"/>
  <c r="AL5" i="36"/>
  <c r="AJ4" i="55"/>
  <c r="AF4" i="36"/>
  <c r="AE4" i="36"/>
  <c r="AD4" i="36"/>
  <c r="AN33" i="75"/>
  <c r="AM19" i="55"/>
  <c r="Z19" i="75" s="1"/>
  <c r="AI19" i="55"/>
  <c r="F19" i="75" s="1"/>
  <c r="AP19" i="55"/>
  <c r="AP7" i="55"/>
  <c r="AI7" i="55"/>
  <c r="AM7" i="55"/>
  <c r="AR5" i="55"/>
  <c r="AT5" i="55"/>
  <c r="AS5" i="55"/>
  <c r="AJ5" i="75" s="1"/>
  <c r="AI5" i="36"/>
  <c r="AU5" i="55"/>
  <c r="AE10" i="75"/>
  <c r="AO16" i="75"/>
  <c r="BF33" i="55"/>
  <c r="BU33" i="55"/>
  <c r="I29" i="75"/>
  <c r="N29" i="75"/>
  <c r="S29" i="75"/>
  <c r="BP25" i="55"/>
  <c r="BO25" i="55"/>
  <c r="X15" i="55"/>
  <c r="Y15" i="75" s="1"/>
  <c r="T15" i="55"/>
  <c r="E15" i="75" s="1"/>
  <c r="AA15" i="55"/>
  <c r="X7" i="55"/>
  <c r="Y7" i="75" s="1"/>
  <c r="T7" i="55"/>
  <c r="E7" i="75" s="1"/>
  <c r="AA7" i="55"/>
  <c r="AM31" i="55"/>
  <c r="Z31" i="75" s="1"/>
  <c r="AI31" i="55"/>
  <c r="AP31" i="55"/>
  <c r="AT24" i="55"/>
  <c r="AS24" i="55"/>
  <c r="AJ24" i="75" s="1"/>
  <c r="AR24" i="55"/>
  <c r="AU24" i="55"/>
  <c r="AI24" i="36"/>
  <c r="S11" i="55"/>
  <c r="Z11" i="55"/>
  <c r="AS6" i="55"/>
  <c r="AJ6" i="75" s="1"/>
  <c r="AU6" i="55"/>
  <c r="AT6" i="55"/>
  <c r="AR6" i="55"/>
  <c r="AI6" i="36"/>
  <c r="BA14" i="55"/>
  <c r="AZ14" i="55"/>
  <c r="AR14" i="36"/>
  <c r="BA6" i="55"/>
  <c r="AZ6" i="55"/>
  <c r="AR6" i="36"/>
  <c r="I24" i="75"/>
  <c r="N24" i="75"/>
  <c r="S24" i="75"/>
  <c r="AH19" i="55"/>
  <c r="AO19" i="55"/>
  <c r="AH17" i="55"/>
  <c r="AO17" i="55"/>
  <c r="AQ30" i="55"/>
  <c r="AM30" i="36"/>
  <c r="R22" i="55"/>
  <c r="R18" i="55"/>
  <c r="S27" i="55"/>
  <c r="Z27" i="55"/>
  <c r="AD28" i="75"/>
  <c r="S28" i="75"/>
  <c r="N28" i="75"/>
  <c r="I28" i="75"/>
  <c r="H34" i="1"/>
  <c r="BP29" i="55"/>
  <c r="BO29" i="55"/>
  <c r="AD29" i="75"/>
  <c r="S28" i="55"/>
  <c r="Z28" i="55"/>
  <c r="X25" i="55"/>
  <c r="Y25" i="75" s="1"/>
  <c r="T25" i="55"/>
  <c r="E25" i="75" s="1"/>
  <c r="AA25" i="55"/>
  <c r="S20" i="55"/>
  <c r="Z20" i="55"/>
  <c r="X19" i="55"/>
  <c r="Y19" i="75" s="1"/>
  <c r="T19" i="55"/>
  <c r="E19" i="75" s="1"/>
  <c r="AA19" i="55"/>
  <c r="AQ17" i="55"/>
  <c r="AM17" i="36"/>
  <c r="S12" i="55"/>
  <c r="Z12" i="55"/>
  <c r="X11" i="55"/>
  <c r="Y11" i="75" s="1"/>
  <c r="T11" i="55"/>
  <c r="E11" i="75" s="1"/>
  <c r="AA11" i="55"/>
  <c r="AQ9" i="55"/>
  <c r="AM9" i="36"/>
  <c r="Z4" i="55"/>
  <c r="S4" i="55"/>
  <c r="L34" i="1"/>
  <c r="AY31" i="55"/>
  <c r="AR31" i="55"/>
  <c r="AU31" i="55"/>
  <c r="AT31" i="55"/>
  <c r="AS31" i="55"/>
  <c r="AJ31" i="75" s="1"/>
  <c r="AA28" i="55"/>
  <c r="T28" i="55"/>
  <c r="E28" i="75" s="1"/>
  <c r="X28" i="55"/>
  <c r="Y28" i="75" s="1"/>
  <c r="AQ26" i="55"/>
  <c r="AM26" i="36"/>
  <c r="S25" i="55"/>
  <c r="Z25" i="55"/>
  <c r="AJ22" i="55"/>
  <c r="AF22" i="36"/>
  <c r="AD22" i="36"/>
  <c r="AE22" i="36"/>
  <c r="Z21" i="55"/>
  <c r="S21" i="55"/>
  <c r="AJ16" i="55"/>
  <c r="AF16" i="36"/>
  <c r="AE16" i="36"/>
  <c r="AD16" i="36"/>
  <c r="S15" i="55"/>
  <c r="Z15" i="55"/>
  <c r="AN13" i="55"/>
  <c r="AL13" i="36"/>
  <c r="AQ12" i="55"/>
  <c r="AM12" i="36"/>
  <c r="AZ11" i="55"/>
  <c r="BA11" i="55"/>
  <c r="AR11" i="36"/>
  <c r="AQ10" i="55"/>
  <c r="AM10" i="36"/>
  <c r="AN9" i="55"/>
  <c r="AL9" i="36"/>
  <c r="BA16" i="55"/>
  <c r="AZ16" i="55"/>
  <c r="AR16" i="36"/>
  <c r="BA12" i="55"/>
  <c r="AZ12" i="55"/>
  <c r="AR12" i="36"/>
  <c r="BA8" i="55"/>
  <c r="AZ8" i="55"/>
  <c r="AR8" i="36"/>
  <c r="BA4" i="55"/>
  <c r="AZ4" i="55"/>
  <c r="AR4" i="36"/>
  <c r="D31" i="74"/>
  <c r="D31" i="79" s="1"/>
  <c r="AA32" i="55"/>
  <c r="X32" i="55"/>
  <c r="Y32" i="75" s="1"/>
  <c r="T32" i="55"/>
  <c r="E32" i="75" s="1"/>
  <c r="AE30" i="75"/>
  <c r="AU27" i="55"/>
  <c r="AT27" i="55"/>
  <c r="AS27" i="55"/>
  <c r="AJ27" i="75" s="1"/>
  <c r="AR27" i="55"/>
  <c r="AI27" i="36"/>
  <c r="AO25" i="55"/>
  <c r="AH25" i="55"/>
  <c r="AM23" i="55"/>
  <c r="Z23" i="75" s="1"/>
  <c r="AI23" i="55"/>
  <c r="AP23" i="55"/>
  <c r="AD21" i="75"/>
  <c r="AD19" i="75"/>
  <c r="S16" i="75"/>
  <c r="I16" i="75"/>
  <c r="N16" i="75"/>
  <c r="I14" i="75"/>
  <c r="N14" i="75"/>
  <c r="S14" i="75"/>
  <c r="AT13" i="55"/>
  <c r="AS13" i="55"/>
  <c r="AJ13" i="75" s="1"/>
  <c r="AR13" i="55"/>
  <c r="AU13" i="55"/>
  <c r="AI13" i="36"/>
  <c r="AH11" i="55"/>
  <c r="AO11" i="55"/>
  <c r="AD11" i="75"/>
  <c r="AN8" i="75"/>
  <c r="AI4" i="75"/>
  <c r="L40" i="19" s="1"/>
  <c r="I6" i="1"/>
  <c r="M31" i="1"/>
  <c r="B27" i="74" s="1"/>
  <c r="B27" i="79" s="1"/>
  <c r="M27" i="1"/>
  <c r="B21" i="74" s="1"/>
  <c r="B21" i="79" s="1"/>
  <c r="AJ8" i="55"/>
  <c r="AF8" i="36"/>
  <c r="AE8" i="36"/>
  <c r="AD8" i="36"/>
  <c r="S5" i="55"/>
  <c r="Z5" i="55"/>
  <c r="N33" i="75"/>
  <c r="I33" i="75"/>
  <c r="S33" i="75"/>
  <c r="X30" i="55"/>
  <c r="Y30" i="75" s="1"/>
  <c r="T30" i="55"/>
  <c r="E30" i="75" s="1"/>
  <c r="AA30" i="55"/>
  <c r="AN29" i="55"/>
  <c r="AL29" i="36"/>
  <c r="AE28" i="75"/>
  <c r="AZ26" i="55"/>
  <c r="BA26" i="55"/>
  <c r="AR26" i="36"/>
  <c r="AD22" i="75"/>
  <c r="AD17" i="75"/>
  <c r="BP9" i="55"/>
  <c r="BO9" i="55"/>
  <c r="AW23" i="55"/>
  <c r="BD23" i="55"/>
  <c r="AW21" i="55"/>
  <c r="BD21" i="55"/>
  <c r="AW25" i="55"/>
  <c r="BD25" i="55"/>
  <c r="BI10" i="55"/>
  <c r="BH10" i="55"/>
  <c r="AK10" i="75" s="1"/>
  <c r="BG10" i="55"/>
  <c r="BJ10" i="55"/>
  <c r="AS10" i="36"/>
  <c r="BG16" i="55"/>
  <c r="BJ16" i="55"/>
  <c r="BI16" i="55"/>
  <c r="BH16" i="55"/>
  <c r="AK16" i="75" s="1"/>
  <c r="AS16" i="36"/>
  <c r="E6" i="1"/>
  <c r="C8" i="1"/>
  <c r="N28" i="1"/>
  <c r="E22" i="74" s="1"/>
  <c r="E22" i="79" s="1"/>
  <c r="S32" i="75"/>
  <c r="N32" i="75"/>
  <c r="I32" i="75"/>
  <c r="AA23" i="55"/>
  <c r="T23" i="55"/>
  <c r="E23" i="75" s="1"/>
  <c r="X23" i="55"/>
  <c r="Y23" i="75" s="1"/>
  <c r="S8" i="55"/>
  <c r="Z8" i="55"/>
  <c r="AQ5" i="55"/>
  <c r="AM5" i="36"/>
  <c r="AS18" i="55"/>
  <c r="AJ18" i="75" s="1"/>
  <c r="AR18" i="55"/>
  <c r="AU18" i="55"/>
  <c r="AT18" i="55"/>
  <c r="AI18" i="36"/>
  <c r="AS14" i="55"/>
  <c r="AJ14" i="75" s="1"/>
  <c r="AR14" i="55"/>
  <c r="AU14" i="55"/>
  <c r="AT14" i="55"/>
  <c r="AI14" i="36"/>
  <c r="AJ12" i="55"/>
  <c r="AF12" i="36"/>
  <c r="AE12" i="36"/>
  <c r="AD12" i="36"/>
  <c r="AJ10" i="55"/>
  <c r="AF10" i="36"/>
  <c r="AE10" i="36"/>
  <c r="AD10" i="36"/>
  <c r="AQ4" i="55"/>
  <c r="AM4" i="36"/>
  <c r="BA18" i="55"/>
  <c r="AZ18" i="55"/>
  <c r="AR18" i="36"/>
  <c r="BA10" i="55"/>
  <c r="AZ10" i="55"/>
  <c r="AR10" i="36"/>
  <c r="AQ32" i="55"/>
  <c r="AM27" i="55"/>
  <c r="Z27" i="75" s="1"/>
  <c r="AI27" i="55"/>
  <c r="AP27" i="55"/>
  <c r="AD26" i="75"/>
  <c r="AH21" i="55"/>
  <c r="AO21" i="55"/>
  <c r="AD15" i="75"/>
  <c r="AD14" i="75"/>
  <c r="S13" i="75"/>
  <c r="N13" i="75"/>
  <c r="I13" i="75"/>
  <c r="AR7" i="55"/>
  <c r="AT7" i="55"/>
  <c r="AS7" i="55"/>
  <c r="AJ7" i="75" s="1"/>
  <c r="AU7" i="55"/>
  <c r="AI7" i="36"/>
  <c r="S5" i="75"/>
  <c r="N5" i="75"/>
  <c r="I5" i="75"/>
  <c r="Z17" i="55"/>
  <c r="S17" i="55"/>
  <c r="M29" i="1"/>
  <c r="B23" i="74" s="1"/>
  <c r="B23" i="79" s="1"/>
  <c r="AL24" i="19"/>
  <c r="J22" i="1"/>
  <c r="J34" i="1" s="1"/>
  <c r="N19" i="1"/>
  <c r="E9" i="74" s="1"/>
  <c r="E9" i="79" s="1"/>
  <c r="S31" i="55"/>
  <c r="Z31" i="55"/>
  <c r="R29" i="55"/>
  <c r="R24" i="55"/>
  <c r="K3" i="75"/>
  <c r="P3" i="75" s="1"/>
  <c r="U3" i="75" s="1"/>
  <c r="Z3" i="75" s="1"/>
  <c r="AE3" i="75" s="1"/>
  <c r="AJ3" i="75" s="1"/>
  <c r="AO3" i="75" s="1"/>
  <c r="G3" i="75"/>
  <c r="R12" i="55"/>
  <c r="R4" i="55"/>
  <c r="M30" i="1"/>
  <c r="B26" i="74" s="1"/>
  <c r="M26" i="1"/>
  <c r="B20" i="74" s="1"/>
  <c r="T24" i="19"/>
  <c r="F22" i="1"/>
  <c r="F34" i="1" s="1"/>
  <c r="N14" i="1"/>
  <c r="E4" i="74" s="1"/>
  <c r="AD32" i="75"/>
  <c r="E34" i="1"/>
  <c r="AN30" i="75"/>
  <c r="C34" i="1"/>
  <c r="BG32" i="55"/>
  <c r="BJ32" i="55"/>
  <c r="BI32" i="55"/>
  <c r="BH32" i="55"/>
  <c r="AK32" i="75" s="1"/>
  <c r="AY29" i="55"/>
  <c r="AP29" i="36"/>
  <c r="AO29" i="36"/>
  <c r="AN29" i="36"/>
  <c r="AT29" i="55"/>
  <c r="AS29" i="55"/>
  <c r="AJ29" i="75" s="1"/>
  <c r="AU29" i="55"/>
  <c r="AR29" i="55"/>
  <c r="AI29" i="36"/>
  <c r="Z24" i="55"/>
  <c r="S24" i="55"/>
  <c r="AQ23" i="55"/>
  <c r="AM23" i="36"/>
  <c r="S18" i="55"/>
  <c r="Z18" i="55"/>
  <c r="X17" i="55"/>
  <c r="Y17" i="75" s="1"/>
  <c r="T17" i="55"/>
  <c r="E17" i="75" s="1"/>
  <c r="AA17" i="55"/>
  <c r="AQ15" i="55"/>
  <c r="AM15" i="36"/>
  <c r="S10" i="55"/>
  <c r="Z10" i="55"/>
  <c r="X9" i="55"/>
  <c r="Y9" i="75" s="1"/>
  <c r="T9" i="55"/>
  <c r="E9" i="75" s="1"/>
  <c r="AA9" i="55"/>
  <c r="AQ7" i="55"/>
  <c r="AM7" i="36"/>
  <c r="AH31" i="55"/>
  <c r="AO31" i="55"/>
  <c r="AD31" i="75"/>
  <c r="AJ28" i="55"/>
  <c r="AF28" i="36"/>
  <c r="AD28" i="36"/>
  <c r="AE28" i="36"/>
  <c r="AJ24" i="55"/>
  <c r="AF24" i="36"/>
  <c r="AD24" i="36"/>
  <c r="AE24" i="36"/>
  <c r="BC23" i="55"/>
  <c r="AV23" i="36"/>
  <c r="BR23" i="55" s="1"/>
  <c r="AR22" i="55"/>
  <c r="AT22" i="55"/>
  <c r="AU22" i="55"/>
  <c r="AS22" i="55"/>
  <c r="AJ22" i="75" s="1"/>
  <c r="AI22" i="36"/>
  <c r="AZ19" i="55"/>
  <c r="BA19" i="55"/>
  <c r="AR19" i="36"/>
  <c r="BA17" i="55"/>
  <c r="AZ17" i="55"/>
  <c r="AR17" i="36"/>
  <c r="AJ14" i="55"/>
  <c r="AF14" i="36"/>
  <c r="AE14" i="36"/>
  <c r="AD14" i="36"/>
  <c r="Z13" i="55"/>
  <c r="S13" i="55"/>
  <c r="AN11" i="55"/>
  <c r="AL11" i="36"/>
  <c r="Z9" i="55"/>
  <c r="S9" i="55"/>
  <c r="AZ5" i="55"/>
  <c r="BA5" i="55"/>
  <c r="AR5" i="36"/>
  <c r="AY17" i="55"/>
  <c r="AP17" i="36"/>
  <c r="AN17" i="36"/>
  <c r="AO17" i="36"/>
  <c r="AY13" i="55"/>
  <c r="AP13" i="36"/>
  <c r="AO13" i="36"/>
  <c r="AN13" i="36"/>
  <c r="AY9" i="55"/>
  <c r="AP9" i="36"/>
  <c r="AO9" i="36"/>
  <c r="AN9" i="36"/>
  <c r="AY5" i="55"/>
  <c r="AP5" i="36"/>
  <c r="AN5" i="36"/>
  <c r="AO5" i="36"/>
  <c r="K24" i="19"/>
  <c r="AJ32" i="55"/>
  <c r="BI30" i="55"/>
  <c r="BH30" i="55"/>
  <c r="AK30" i="75" s="1"/>
  <c r="BG30" i="55"/>
  <c r="BJ30" i="55"/>
  <c r="AS30" i="36"/>
  <c r="AH27" i="55"/>
  <c r="AO27" i="55"/>
  <c r="I27" i="75"/>
  <c r="N27" i="75"/>
  <c r="S27" i="75"/>
  <c r="AM25" i="55"/>
  <c r="Z25" i="75" s="1"/>
  <c r="AI25" i="55"/>
  <c r="F25" i="75" s="1"/>
  <c r="AP25" i="55"/>
  <c r="AN25" i="75"/>
  <c r="I25" i="75"/>
  <c r="N25" i="75"/>
  <c r="S25" i="75"/>
  <c r="AN24" i="75"/>
  <c r="AD23" i="75"/>
  <c r="I22" i="75"/>
  <c r="N22" i="75"/>
  <c r="S22" i="75"/>
  <c r="AU21" i="55"/>
  <c r="AR21" i="55"/>
  <c r="AT21" i="55"/>
  <c r="AS21" i="55"/>
  <c r="AJ21" i="75" s="1"/>
  <c r="AI21" i="36"/>
  <c r="AN20" i="75"/>
  <c r="N19" i="75"/>
  <c r="S19" i="75"/>
  <c r="I19" i="75"/>
  <c r="AN18" i="75"/>
  <c r="S18" i="75"/>
  <c r="I18" i="75"/>
  <c r="N18" i="75"/>
  <c r="AD16" i="75"/>
  <c r="AR15" i="55"/>
  <c r="AU15" i="55"/>
  <c r="AT15" i="55"/>
  <c r="AS15" i="55"/>
  <c r="AJ15" i="75" s="1"/>
  <c r="AI15" i="36"/>
  <c r="AH13" i="55"/>
  <c r="AO13" i="55"/>
  <c r="AN13" i="75"/>
  <c r="AN12" i="75"/>
  <c r="AM11" i="55"/>
  <c r="AI11" i="55"/>
  <c r="F11" i="75" s="1"/>
  <c r="AP11" i="55"/>
  <c r="S11" i="75"/>
  <c r="N11" i="75"/>
  <c r="I11" i="75"/>
  <c r="AN10" i="75"/>
  <c r="I10" i="75"/>
  <c r="N10" i="75"/>
  <c r="S10" i="75"/>
  <c r="S9" i="75"/>
  <c r="N9" i="75"/>
  <c r="I9" i="75"/>
  <c r="AH7" i="55"/>
  <c r="AO7" i="55"/>
  <c r="AN6" i="75"/>
  <c r="S19" i="55"/>
  <c r="Z19" i="55"/>
  <c r="AN17" i="55"/>
  <c r="AL17" i="36"/>
  <c r="AQ6" i="55"/>
  <c r="AM6" i="36"/>
  <c r="BA20" i="55"/>
  <c r="AZ20" i="55"/>
  <c r="AR20" i="36"/>
  <c r="C7" i="1"/>
  <c r="AD33" i="75"/>
  <c r="AJ30" i="55"/>
  <c r="AF30" i="36"/>
  <c r="AE30" i="36"/>
  <c r="AD30" i="36"/>
  <c r="AO28" i="75"/>
  <c r="BA24" i="55"/>
  <c r="AZ24" i="55"/>
  <c r="AR24" i="36"/>
  <c r="S21" i="75"/>
  <c r="N21" i="75"/>
  <c r="I21" i="75"/>
  <c r="I20" i="75"/>
  <c r="N20" i="75"/>
  <c r="S20" i="75"/>
  <c r="AT9" i="55"/>
  <c r="AR9" i="55"/>
  <c r="AS9" i="55"/>
  <c r="AJ9" i="75" s="1"/>
  <c r="AU9" i="55"/>
  <c r="AI9" i="36"/>
  <c r="I8" i="75"/>
  <c r="N8" i="75"/>
  <c r="S8" i="75"/>
  <c r="R8" i="55"/>
  <c r="I6" i="75"/>
  <c r="N6" i="75"/>
  <c r="S6" i="75"/>
  <c r="R6" i="55"/>
  <c r="BB23" i="55"/>
  <c r="AX23" i="55"/>
  <c r="BE23" i="55"/>
  <c r="BB21" i="55"/>
  <c r="BE21" i="55"/>
  <c r="AX21" i="55"/>
  <c r="BE25" i="55"/>
  <c r="BB25" i="55"/>
  <c r="AX25" i="55"/>
  <c r="G25" i="75" s="1"/>
  <c r="AO10" i="75"/>
  <c r="AE16" i="75"/>
  <c r="BG8" i="55"/>
  <c r="BI8" i="55"/>
  <c r="BJ8" i="55"/>
  <c r="BH8" i="55"/>
  <c r="AK8" i="75" s="1"/>
  <c r="AS8" i="36"/>
  <c r="AY36" i="36" l="1"/>
  <c r="F21" i="75"/>
  <c r="F7" i="75"/>
  <c r="BA13" i="55"/>
  <c r="F23" i="75"/>
  <c r="F27" i="75"/>
  <c r="G23" i="75"/>
  <c r="F31" i="75"/>
  <c r="F13" i="75"/>
  <c r="E30" i="74"/>
  <c r="E30" i="79" s="1"/>
  <c r="L34" i="19"/>
  <c r="C34" i="19"/>
  <c r="K5" i="75"/>
  <c r="F5" i="75"/>
  <c r="P9" i="75"/>
  <c r="F9" i="75"/>
  <c r="AX34" i="36"/>
  <c r="AY34" i="36"/>
  <c r="AX38" i="36"/>
  <c r="AY38" i="36"/>
  <c r="AX39" i="36"/>
  <c r="AY39" i="36"/>
  <c r="AY31" i="36"/>
  <c r="AX31" i="36"/>
  <c r="AY35" i="36"/>
  <c r="AX35" i="36"/>
  <c r="AM33" i="55"/>
  <c r="AV26" i="36"/>
  <c r="BR26" i="55" s="1"/>
  <c r="BF29" i="55"/>
  <c r="AR13" i="36"/>
  <c r="BP13" i="55" s="1"/>
  <c r="BA7" i="55"/>
  <c r="AZ7" i="55"/>
  <c r="AV27" i="36"/>
  <c r="BR27" i="55" s="1"/>
  <c r="AG14" i="55"/>
  <c r="AG32" i="55"/>
  <c r="AG24" i="55"/>
  <c r="AO33" i="55"/>
  <c r="AV25" i="36"/>
  <c r="BR25" i="55" s="1"/>
  <c r="AG6" i="55"/>
  <c r="AG33" i="55"/>
  <c r="AR21" i="36"/>
  <c r="BO21" i="55" s="1"/>
  <c r="Z7" i="75"/>
  <c r="Z33" i="75"/>
  <c r="AZ21" i="55"/>
  <c r="G21" i="75" s="1"/>
  <c r="G5" i="1"/>
  <c r="BR31" i="55"/>
  <c r="AG22" i="55"/>
  <c r="AI33" i="55"/>
  <c r="F33" i="75" s="1"/>
  <c r="I12" i="1"/>
  <c r="K12" i="1" s="1"/>
  <c r="K43" i="1" s="1"/>
  <c r="AA23" i="75"/>
  <c r="U27" i="19"/>
  <c r="AD2" i="19"/>
  <c r="AG23" i="55"/>
  <c r="T32" i="75"/>
  <c r="AG4" i="55"/>
  <c r="BP23" i="55"/>
  <c r="U32" i="19"/>
  <c r="K6" i="1"/>
  <c r="AO19" i="75"/>
  <c r="Z11" i="75"/>
  <c r="AO27" i="36"/>
  <c r="AX27" i="55" s="1"/>
  <c r="AG21" i="55"/>
  <c r="AG19" i="55"/>
  <c r="AG18" i="55"/>
  <c r="AG30" i="55"/>
  <c r="AO27" i="75"/>
  <c r="AP27" i="36"/>
  <c r="AY27" i="36" s="1"/>
  <c r="AO12" i="75"/>
  <c r="AG26" i="55"/>
  <c r="AO20" i="75"/>
  <c r="AG16" i="55"/>
  <c r="BF31" i="55"/>
  <c r="BU31" i="55"/>
  <c r="AY27" i="55"/>
  <c r="L41" i="19"/>
  <c r="E52" i="1" s="1"/>
  <c r="AO9" i="75"/>
  <c r="AG12" i="55"/>
  <c r="AG20" i="55"/>
  <c r="BC22" i="55"/>
  <c r="AV22" i="36"/>
  <c r="BR22" i="55" s="1"/>
  <c r="BC14" i="55"/>
  <c r="AV14" i="36"/>
  <c r="BR14" i="55" s="1"/>
  <c r="BC24" i="55"/>
  <c r="AV24" i="36"/>
  <c r="BR24" i="55" s="1"/>
  <c r="BC32" i="55"/>
  <c r="BR32" i="55"/>
  <c r="J32" i="75"/>
  <c r="AG10" i="55"/>
  <c r="AG31" i="55"/>
  <c r="C37" i="19"/>
  <c r="K37" i="19" s="1"/>
  <c r="D48" i="1" s="1"/>
  <c r="AW27" i="36"/>
  <c r="BU27" i="55" s="1"/>
  <c r="BF27" i="55"/>
  <c r="BC16" i="55"/>
  <c r="AV16" i="36"/>
  <c r="BR16" i="55" s="1"/>
  <c r="C35" i="19"/>
  <c r="K35" i="19" s="1"/>
  <c r="AG7" i="55"/>
  <c r="L36" i="19"/>
  <c r="T36" i="19" s="1"/>
  <c r="F47" i="1" s="1"/>
  <c r="BC8" i="55"/>
  <c r="AV8" i="36"/>
  <c r="BR8" i="55" s="1"/>
  <c r="BC4" i="55"/>
  <c r="AV4" i="36"/>
  <c r="BR4" i="55" s="1"/>
  <c r="AO29" i="75"/>
  <c r="AP8" i="75"/>
  <c r="AO22" i="75"/>
  <c r="AG17" i="55"/>
  <c r="C38" i="19"/>
  <c r="C49" i="1" s="1"/>
  <c r="AO7" i="75"/>
  <c r="T30" i="75"/>
  <c r="AG28" i="55"/>
  <c r="AO6" i="75"/>
  <c r="AO24" i="75"/>
  <c r="AP28" i="75"/>
  <c r="AO33" i="75"/>
  <c r="U9" i="75"/>
  <c r="AG29" i="55"/>
  <c r="C50" i="1"/>
  <c r="BC30" i="55"/>
  <c r="AV30" i="36"/>
  <c r="BR30" i="55" s="1"/>
  <c r="BC28" i="55"/>
  <c r="AV28" i="36"/>
  <c r="BR28" i="55" s="1"/>
  <c r="BC18" i="55"/>
  <c r="AV18" i="36"/>
  <c r="BR18" i="55" s="1"/>
  <c r="BC6" i="55"/>
  <c r="AV6" i="36"/>
  <c r="BR6" i="55" s="1"/>
  <c r="BC10" i="55"/>
  <c r="AV10" i="36"/>
  <c r="BR10" i="55" s="1"/>
  <c r="BC12" i="55"/>
  <c r="AV12" i="36"/>
  <c r="BR12" i="55" s="1"/>
  <c r="AG9" i="55"/>
  <c r="AO14" i="75"/>
  <c r="AO4" i="75"/>
  <c r="C9" i="1"/>
  <c r="E7" i="49" s="1"/>
  <c r="BC20" i="55"/>
  <c r="AV20" i="36"/>
  <c r="BR20" i="55" s="1"/>
  <c r="T41" i="19"/>
  <c r="F52" i="1" s="1"/>
  <c r="BP11" i="55"/>
  <c r="BO11" i="55"/>
  <c r="T25" i="75"/>
  <c r="O25" i="75"/>
  <c r="J25" i="75"/>
  <c r="E7" i="1"/>
  <c r="BF17" i="55"/>
  <c r="AW17" i="36"/>
  <c r="BU17" i="55" s="1"/>
  <c r="O11" i="75"/>
  <c r="J11" i="75"/>
  <c r="T11" i="75"/>
  <c r="AE19" i="75"/>
  <c r="AV19" i="55"/>
  <c r="BO28" i="55"/>
  <c r="BP28" i="55"/>
  <c r="AO18" i="55"/>
  <c r="AH18" i="55"/>
  <c r="T22" i="75"/>
  <c r="O22" i="75"/>
  <c r="J22" i="75"/>
  <c r="BC33" i="55"/>
  <c r="BR33" i="55"/>
  <c r="BJ4" i="55"/>
  <c r="BI4" i="55"/>
  <c r="BH4" i="55"/>
  <c r="AK4" i="75" s="1"/>
  <c r="BG4" i="55"/>
  <c r="AS4" i="36"/>
  <c r="BW8" i="55"/>
  <c r="AL8" i="75" s="1"/>
  <c r="BY8" i="55"/>
  <c r="AQ8" i="75" s="1"/>
  <c r="BX8" i="55"/>
  <c r="BV8" i="55"/>
  <c r="AF8" i="75"/>
  <c r="O32" i="75"/>
  <c r="AA25" i="75"/>
  <c r="K9" i="75"/>
  <c r="AY30" i="55"/>
  <c r="AN30" i="36"/>
  <c r="AP30" i="36"/>
  <c r="AO30" i="36"/>
  <c r="BF6" i="55"/>
  <c r="AW6" i="36"/>
  <c r="BU6" i="55" s="1"/>
  <c r="AO21" i="75"/>
  <c r="U27" i="75"/>
  <c r="P27" i="75"/>
  <c r="K27" i="75"/>
  <c r="AY32" i="55"/>
  <c r="BP7" i="55"/>
  <c r="BO7" i="55"/>
  <c r="BP19" i="55"/>
  <c r="BO19" i="55"/>
  <c r="AY24" i="55"/>
  <c r="AN24" i="36"/>
  <c r="AP24" i="36"/>
  <c r="AO24" i="36"/>
  <c r="AM28" i="55"/>
  <c r="Z28" i="75" s="1"/>
  <c r="AI28" i="55"/>
  <c r="F28" i="75" s="1"/>
  <c r="AP28" i="55"/>
  <c r="G6" i="1"/>
  <c r="BF15" i="55"/>
  <c r="AW15" i="36"/>
  <c r="BU15" i="55" s="1"/>
  <c r="AE29" i="75"/>
  <c r="AV29" i="55"/>
  <c r="AW29" i="55"/>
  <c r="BD29" i="55"/>
  <c r="BW32" i="55"/>
  <c r="AL32" i="75" s="1"/>
  <c r="BV32" i="55"/>
  <c r="BY32" i="55"/>
  <c r="AQ32" i="75" s="1"/>
  <c r="BX32" i="55"/>
  <c r="AF32" i="75"/>
  <c r="B20" i="79"/>
  <c r="B24" i="74"/>
  <c r="H3" i="75"/>
  <c r="M3" i="75" s="1"/>
  <c r="R3" i="75" s="1"/>
  <c r="W3" i="75" s="1"/>
  <c r="AB3" i="75" s="1"/>
  <c r="AG3" i="75" s="1"/>
  <c r="AL3" i="75" s="1"/>
  <c r="AQ3" i="75" s="1"/>
  <c r="L3" i="75"/>
  <c r="Q3" i="75" s="1"/>
  <c r="V3" i="75" s="1"/>
  <c r="AA3" i="75" s="1"/>
  <c r="AF3" i="75" s="1"/>
  <c r="AK3" i="75" s="1"/>
  <c r="AP3" i="75" s="1"/>
  <c r="K21" i="75"/>
  <c r="P21" i="75"/>
  <c r="U21" i="75"/>
  <c r="BP10" i="55"/>
  <c r="BO10" i="55"/>
  <c r="AO10" i="55"/>
  <c r="AH10" i="55"/>
  <c r="AH12" i="55"/>
  <c r="AO12" i="55"/>
  <c r="BI14" i="55"/>
  <c r="BH14" i="55"/>
  <c r="AK14" i="75" s="1"/>
  <c r="BG14" i="55"/>
  <c r="BJ14" i="55"/>
  <c r="AS14" i="36"/>
  <c r="AE18" i="75"/>
  <c r="BF5" i="55"/>
  <c r="AW5" i="36"/>
  <c r="BU5" i="55" s="1"/>
  <c r="BY10" i="55"/>
  <c r="AQ10" i="75" s="1"/>
  <c r="BX10" i="55"/>
  <c r="BW10" i="55"/>
  <c r="AL10" i="75" s="1"/>
  <c r="BV10" i="55"/>
  <c r="AP10" i="75"/>
  <c r="L21" i="75"/>
  <c r="Q21" i="75"/>
  <c r="AM8" i="55"/>
  <c r="Z8" i="75" s="1"/>
  <c r="AI8" i="55"/>
  <c r="F8" i="75" s="1"/>
  <c r="AP8" i="55"/>
  <c r="AG11" i="55"/>
  <c r="BJ13" i="55"/>
  <c r="BI13" i="55"/>
  <c r="BH13" i="55"/>
  <c r="AK13" i="75" s="1"/>
  <c r="BG13" i="55"/>
  <c r="AS13" i="36"/>
  <c r="AO13" i="75"/>
  <c r="BH27" i="55"/>
  <c r="AK27" i="75" s="1"/>
  <c r="BG27" i="55"/>
  <c r="BJ27" i="55"/>
  <c r="BI27" i="55"/>
  <c r="AS27" i="36"/>
  <c r="BO16" i="55"/>
  <c r="BP16" i="55"/>
  <c r="BC13" i="55"/>
  <c r="AV13" i="36"/>
  <c r="BR13" i="55" s="1"/>
  <c r="AH16" i="55"/>
  <c r="AO16" i="55"/>
  <c r="O21" i="75"/>
  <c r="J21" i="75"/>
  <c r="T21" i="75"/>
  <c r="AN22" i="36"/>
  <c r="AY22" i="55"/>
  <c r="AP22" i="36"/>
  <c r="AO22" i="36"/>
  <c r="BF26" i="55"/>
  <c r="AW26" i="36"/>
  <c r="BU26" i="55" s="1"/>
  <c r="BH31" i="55"/>
  <c r="AK31" i="75" s="1"/>
  <c r="BG31" i="55"/>
  <c r="BJ31" i="55"/>
  <c r="BI31" i="55"/>
  <c r="AE31" i="75"/>
  <c r="AV31" i="55"/>
  <c r="BF9" i="55"/>
  <c r="AW9" i="36"/>
  <c r="BU9" i="55" s="1"/>
  <c r="O28" i="75"/>
  <c r="J28" i="75"/>
  <c r="T28" i="75"/>
  <c r="E24" i="74"/>
  <c r="AO5" i="75"/>
  <c r="Z5" i="75"/>
  <c r="AO11" i="75"/>
  <c r="Z15" i="75"/>
  <c r="Z21" i="75"/>
  <c r="AO25" i="75"/>
  <c r="BN7" i="55"/>
  <c r="AY7" i="36"/>
  <c r="AX7" i="36"/>
  <c r="BN11" i="55"/>
  <c r="AY11" i="36"/>
  <c r="AX11" i="36"/>
  <c r="BN15" i="55"/>
  <c r="AY15" i="36"/>
  <c r="AX15" i="36"/>
  <c r="BN19" i="55"/>
  <c r="AY19" i="36"/>
  <c r="AX19" i="36"/>
  <c r="AM6" i="55"/>
  <c r="Z6" i="75" s="1"/>
  <c r="AI6" i="55"/>
  <c r="F6" i="75" s="1"/>
  <c r="AP6" i="55"/>
  <c r="BG12" i="55"/>
  <c r="BJ12" i="55"/>
  <c r="BI12" i="55"/>
  <c r="BH12" i="55"/>
  <c r="AK12" i="75" s="1"/>
  <c r="AS12" i="36"/>
  <c r="BF14" i="55"/>
  <c r="AW14" i="36"/>
  <c r="BU14" i="55" s="1"/>
  <c r="BF16" i="55"/>
  <c r="AW16" i="36"/>
  <c r="BU16" i="55" s="1"/>
  <c r="AM18" i="55"/>
  <c r="Z18" i="75" s="1"/>
  <c r="AI18" i="55"/>
  <c r="F18" i="75" s="1"/>
  <c r="AP18" i="55"/>
  <c r="AM20" i="55"/>
  <c r="Z20" i="75" s="1"/>
  <c r="AI20" i="55"/>
  <c r="F20" i="75" s="1"/>
  <c r="AP20" i="55"/>
  <c r="BH26" i="55"/>
  <c r="AK26" i="75" s="1"/>
  <c r="BG26" i="55"/>
  <c r="BJ26" i="55"/>
  <c r="BI26" i="55"/>
  <c r="AS26" i="36"/>
  <c r="AE26" i="75"/>
  <c r="O26" i="75"/>
  <c r="J26" i="75"/>
  <c r="T26" i="75"/>
  <c r="BA30" i="55"/>
  <c r="AZ30" i="55"/>
  <c r="AR30" i="36"/>
  <c r="U5" i="75"/>
  <c r="BM21" i="55"/>
  <c r="BQ21" i="55"/>
  <c r="BT21" i="55"/>
  <c r="AE17" i="75"/>
  <c r="AV17" i="55"/>
  <c r="BB33" i="55"/>
  <c r="AX33" i="55"/>
  <c r="G33" i="75" s="1"/>
  <c r="BE33" i="55"/>
  <c r="BC7" i="55"/>
  <c r="AV7" i="36"/>
  <c r="BR7" i="55" s="1"/>
  <c r="Z13" i="75"/>
  <c r="U15" i="75"/>
  <c r="K15" i="75"/>
  <c r="P15" i="75"/>
  <c r="AO23" i="75"/>
  <c r="N22" i="1"/>
  <c r="BG20" i="55"/>
  <c r="BJ20" i="55"/>
  <c r="BI20" i="55"/>
  <c r="BH20" i="55"/>
  <c r="AK20" i="75" s="1"/>
  <c r="AS20" i="36"/>
  <c r="AH26" i="55"/>
  <c r="AO26" i="55"/>
  <c r="T16" i="75"/>
  <c r="O16" i="75"/>
  <c r="J16" i="75"/>
  <c r="U29" i="75"/>
  <c r="P29" i="75"/>
  <c r="K29" i="75"/>
  <c r="J33" i="75"/>
  <c r="T33" i="75"/>
  <c r="O33" i="75"/>
  <c r="BJ9" i="55"/>
  <c r="BI9" i="55"/>
  <c r="BH9" i="55"/>
  <c r="AK9" i="75" s="1"/>
  <c r="BG9" i="55"/>
  <c r="AS9" i="36"/>
  <c r="AM30" i="55"/>
  <c r="Z30" i="75" s="1"/>
  <c r="AI30" i="55"/>
  <c r="F30" i="75" s="1"/>
  <c r="AP30" i="55"/>
  <c r="BH15" i="55"/>
  <c r="AK15" i="75" s="1"/>
  <c r="BG15" i="55"/>
  <c r="BJ15" i="55"/>
  <c r="BI15" i="55"/>
  <c r="AS15" i="36"/>
  <c r="AE15" i="75"/>
  <c r="AV15" i="55"/>
  <c r="AF30" i="75"/>
  <c r="AM32" i="55"/>
  <c r="Z32" i="75" s="1"/>
  <c r="AI32" i="55"/>
  <c r="F32" i="75" s="1"/>
  <c r="AP32" i="55"/>
  <c r="BN5" i="55"/>
  <c r="AY5" i="36"/>
  <c r="AX5" i="36"/>
  <c r="BN9" i="55"/>
  <c r="AY9" i="36"/>
  <c r="AX9" i="36"/>
  <c r="BN13" i="55"/>
  <c r="AY13" i="36"/>
  <c r="AX13" i="36"/>
  <c r="BN17" i="55"/>
  <c r="AY17" i="36"/>
  <c r="AX17" i="36"/>
  <c r="O9" i="75"/>
  <c r="J9" i="75"/>
  <c r="T9" i="75"/>
  <c r="O13" i="75"/>
  <c r="J13" i="75"/>
  <c r="T13" i="75"/>
  <c r="AY14" i="55"/>
  <c r="AN14" i="36"/>
  <c r="AP14" i="36"/>
  <c r="AO14" i="36"/>
  <c r="BH22" i="55"/>
  <c r="AK22" i="75" s="1"/>
  <c r="BJ22" i="55"/>
  <c r="BI22" i="55"/>
  <c r="BG22" i="55"/>
  <c r="AS22" i="36"/>
  <c r="AE22" i="75"/>
  <c r="AH24" i="55"/>
  <c r="AO24" i="55"/>
  <c r="U31" i="75"/>
  <c r="P31" i="75"/>
  <c r="K31" i="75"/>
  <c r="T10" i="75"/>
  <c r="O10" i="75"/>
  <c r="J10" i="75"/>
  <c r="BF23" i="55"/>
  <c r="V23" i="75" s="1"/>
  <c r="AW23" i="36"/>
  <c r="BU23" i="55" s="1"/>
  <c r="BJ29" i="55"/>
  <c r="BI29" i="55"/>
  <c r="BH29" i="55"/>
  <c r="AK29" i="75" s="1"/>
  <c r="BG29" i="55"/>
  <c r="AS29" i="36"/>
  <c r="BH7" i="55"/>
  <c r="AK7" i="75" s="1"/>
  <c r="BJ7" i="55"/>
  <c r="BI7" i="55"/>
  <c r="BG7" i="55"/>
  <c r="AS7" i="36"/>
  <c r="AE7" i="75"/>
  <c r="AV7" i="55"/>
  <c r="AF16" i="75"/>
  <c r="AO8" i="55"/>
  <c r="AH8" i="55"/>
  <c r="J15" i="75"/>
  <c r="T15" i="75"/>
  <c r="O15" i="75"/>
  <c r="AH22" i="55"/>
  <c r="AO22" i="55"/>
  <c r="B14" i="79"/>
  <c r="B18" i="74"/>
  <c r="B18" i="79" s="1"/>
  <c r="BO6" i="55"/>
  <c r="BP6" i="55"/>
  <c r="BJ24" i="55"/>
  <c r="BI24" i="55"/>
  <c r="BH24" i="55"/>
  <c r="AK24" i="75" s="1"/>
  <c r="BG24" i="55"/>
  <c r="AS24" i="36"/>
  <c r="AN4" i="36"/>
  <c r="AY4" i="55"/>
  <c r="AP4" i="36"/>
  <c r="AO4" i="36"/>
  <c r="BF20" i="55"/>
  <c r="AW20" i="36"/>
  <c r="BU20" i="55" s="1"/>
  <c r="Z17" i="75"/>
  <c r="BH19" i="55"/>
  <c r="AK19" i="75" s="1"/>
  <c r="BG19" i="55"/>
  <c r="BJ19" i="55"/>
  <c r="BI19" i="55"/>
  <c r="AS19" i="36"/>
  <c r="BB11" i="55"/>
  <c r="AX11" i="55"/>
  <c r="G11" i="75" s="1"/>
  <c r="BE11" i="55"/>
  <c r="BD19" i="55"/>
  <c r="AW19" i="55"/>
  <c r="BF11" i="55"/>
  <c r="AW11" i="36"/>
  <c r="BU11" i="55" s="1"/>
  <c r="BS21" i="55"/>
  <c r="BL21" i="55"/>
  <c r="AE33" i="75"/>
  <c r="AW33" i="55"/>
  <c r="BD33" i="55"/>
  <c r="AM26" i="55"/>
  <c r="Z26" i="75" s="1"/>
  <c r="AI26" i="55"/>
  <c r="F26" i="75" s="1"/>
  <c r="AP26" i="55"/>
  <c r="K41" i="19"/>
  <c r="D52" i="1" s="1"/>
  <c r="C52" i="1"/>
  <c r="BO20" i="55"/>
  <c r="BP20" i="55"/>
  <c r="T19" i="75"/>
  <c r="O19" i="75"/>
  <c r="J19" i="75"/>
  <c r="K7" i="75"/>
  <c r="P7" i="75"/>
  <c r="U7" i="75"/>
  <c r="AO15" i="75"/>
  <c r="AE21" i="75"/>
  <c r="AV21" i="55"/>
  <c r="BY30" i="55"/>
  <c r="AQ30" i="75" s="1"/>
  <c r="BX30" i="55"/>
  <c r="BW30" i="55"/>
  <c r="AL30" i="75" s="1"/>
  <c r="BV30" i="55"/>
  <c r="AP30" i="75"/>
  <c r="BE5" i="55"/>
  <c r="AX5" i="55"/>
  <c r="G5" i="75" s="1"/>
  <c r="BB5" i="55"/>
  <c r="AW9" i="55"/>
  <c r="BD9" i="55"/>
  <c r="AW13" i="55"/>
  <c r="BD13" i="55"/>
  <c r="BB17" i="55"/>
  <c r="AX17" i="55"/>
  <c r="G17" i="75" s="1"/>
  <c r="BE17" i="55"/>
  <c r="BP5" i="55"/>
  <c r="BO5" i="55"/>
  <c r="BC11" i="55"/>
  <c r="AV11" i="36"/>
  <c r="BR11" i="55" s="1"/>
  <c r="AO14" i="55"/>
  <c r="AH14" i="55"/>
  <c r="BP17" i="55"/>
  <c r="BO17" i="55"/>
  <c r="AH28" i="55"/>
  <c r="AO28" i="55"/>
  <c r="BF7" i="55"/>
  <c r="AW7" i="36"/>
  <c r="BU7" i="55" s="1"/>
  <c r="T24" i="75"/>
  <c r="O24" i="75"/>
  <c r="J24" i="75"/>
  <c r="BB29" i="55"/>
  <c r="AX29" i="55"/>
  <c r="G29" i="75" s="1"/>
  <c r="BE29" i="55"/>
  <c r="E4" i="79"/>
  <c r="B26" i="79"/>
  <c r="B30" i="74"/>
  <c r="B30" i="79" s="1"/>
  <c r="J31" i="75"/>
  <c r="T31" i="75"/>
  <c r="O31" i="75"/>
  <c r="AG15" i="55"/>
  <c r="AM10" i="55"/>
  <c r="Z10" i="75" s="1"/>
  <c r="AI10" i="55"/>
  <c r="F10" i="75" s="1"/>
  <c r="AP10" i="55"/>
  <c r="AM12" i="55"/>
  <c r="Z12" i="75" s="1"/>
  <c r="AI12" i="55"/>
  <c r="F12" i="75" s="1"/>
  <c r="AP12" i="55"/>
  <c r="BI18" i="55"/>
  <c r="BH18" i="55"/>
  <c r="AK18" i="75" s="1"/>
  <c r="BG18" i="55"/>
  <c r="BJ18" i="55"/>
  <c r="AS18" i="36"/>
  <c r="AP16" i="75"/>
  <c r="BP26" i="55"/>
  <c r="BO26" i="55"/>
  <c r="AY8" i="55"/>
  <c r="AN8" i="36"/>
  <c r="AP8" i="36"/>
  <c r="AO8" i="36"/>
  <c r="AE27" i="75"/>
  <c r="AV27" i="55"/>
  <c r="BD27" i="55"/>
  <c r="AW27" i="55"/>
  <c r="BO12" i="55"/>
  <c r="BP12" i="55"/>
  <c r="BF10" i="55"/>
  <c r="AW10" i="36"/>
  <c r="BU10" i="55" s="1"/>
  <c r="AM16" i="55"/>
  <c r="Z16" i="75" s="1"/>
  <c r="AI16" i="55"/>
  <c r="F16" i="75" s="1"/>
  <c r="AP16" i="55"/>
  <c r="J30" i="75"/>
  <c r="BD31" i="55"/>
  <c r="AW31" i="55"/>
  <c r="T20" i="75"/>
  <c r="O20" i="75"/>
  <c r="J20" i="75"/>
  <c r="T27" i="75"/>
  <c r="O27" i="75"/>
  <c r="J27" i="75"/>
  <c r="U17" i="75"/>
  <c r="K17" i="75"/>
  <c r="P17" i="75"/>
  <c r="BI6" i="55"/>
  <c r="BG6" i="55"/>
  <c r="BJ6" i="55"/>
  <c r="BH6" i="55"/>
  <c r="AK6" i="75" s="1"/>
  <c r="AS6" i="36"/>
  <c r="AE24" i="75"/>
  <c r="AE5" i="75"/>
  <c r="AV5" i="55"/>
  <c r="AH4" i="55"/>
  <c r="AO4" i="55"/>
  <c r="BC5" i="55"/>
  <c r="AV5" i="36"/>
  <c r="BR5" i="55" s="1"/>
  <c r="BF18" i="55"/>
  <c r="AW18" i="36"/>
  <c r="BU18" i="55" s="1"/>
  <c r="L39" i="19"/>
  <c r="AG13" i="55"/>
  <c r="AG25" i="55"/>
  <c r="AE12" i="75"/>
  <c r="AY20" i="55"/>
  <c r="AN20" i="36"/>
  <c r="AP20" i="36"/>
  <c r="AO20" i="36"/>
  <c r="O23" i="75"/>
  <c r="J23" i="75"/>
  <c r="T23" i="75"/>
  <c r="T14" i="75"/>
  <c r="O14" i="75"/>
  <c r="J14" i="75"/>
  <c r="BF25" i="55"/>
  <c r="V25" i="75" s="1"/>
  <c r="AW25" i="36"/>
  <c r="BU25" i="55" s="1"/>
  <c r="BL25" i="55"/>
  <c r="BS25" i="55"/>
  <c r="P5" i="75"/>
  <c r="BW28" i="55"/>
  <c r="AL28" i="75" s="1"/>
  <c r="BV28" i="55"/>
  <c r="BX28" i="55"/>
  <c r="BY28" i="55"/>
  <c r="AQ28" i="75" s="1"/>
  <c r="AF28" i="75"/>
  <c r="BN33" i="55"/>
  <c r="AE4" i="75"/>
  <c r="G8" i="1"/>
  <c r="BG23" i="55"/>
  <c r="BJ23" i="55"/>
  <c r="BI23" i="55"/>
  <c r="BH23" i="55"/>
  <c r="AK23" i="75" s="1"/>
  <c r="AS23" i="36"/>
  <c r="BP15" i="55"/>
  <c r="BO15" i="55"/>
  <c r="AE20" i="75"/>
  <c r="BF22" i="55"/>
  <c r="AW22" i="36"/>
  <c r="BU22" i="55" s="1"/>
  <c r="AY26" i="55"/>
  <c r="AN26" i="36"/>
  <c r="AO26" i="36"/>
  <c r="AP26" i="36"/>
  <c r="BF13" i="55"/>
  <c r="AW13" i="36"/>
  <c r="BU13" i="55" s="1"/>
  <c r="BF21" i="55"/>
  <c r="V21" i="75" s="1"/>
  <c r="AW21" i="36"/>
  <c r="BU21" i="55" s="1"/>
  <c r="C47" i="1"/>
  <c r="K36" i="19"/>
  <c r="D47" i="1" s="1"/>
  <c r="BP18" i="55"/>
  <c r="BO18" i="55"/>
  <c r="AE14" i="75"/>
  <c r="T8" i="75"/>
  <c r="O8" i="75"/>
  <c r="J8" i="75"/>
  <c r="BW16" i="55"/>
  <c r="AL16" i="75" s="1"/>
  <c r="BV16" i="55"/>
  <c r="BY16" i="55"/>
  <c r="AQ16" i="75" s="1"/>
  <c r="BX16" i="55"/>
  <c r="K11" i="75"/>
  <c r="P11" i="75"/>
  <c r="U11" i="75"/>
  <c r="BP4" i="55"/>
  <c r="BO4" i="55"/>
  <c r="BC9" i="55"/>
  <c r="AV9" i="36"/>
  <c r="BR9" i="55" s="1"/>
  <c r="BN31" i="55"/>
  <c r="U19" i="75"/>
  <c r="K19" i="75"/>
  <c r="P19" i="75"/>
  <c r="O7" i="75"/>
  <c r="J7" i="75"/>
  <c r="T7" i="75"/>
  <c r="BI25" i="55"/>
  <c r="BH25" i="55"/>
  <c r="AK25" i="75" s="1"/>
  <c r="BG25" i="55"/>
  <c r="BJ25" i="55"/>
  <c r="AS25" i="36"/>
  <c r="BD7" i="55"/>
  <c r="AW7" i="55"/>
  <c r="BB15" i="55"/>
  <c r="AX15" i="55"/>
  <c r="G15" i="75" s="1"/>
  <c r="BE15" i="55"/>
  <c r="AO6" i="55"/>
  <c r="AH6" i="55"/>
  <c r="BQ23" i="55"/>
  <c r="AB23" i="75" s="1"/>
  <c r="BM23" i="55"/>
  <c r="BT23" i="55"/>
  <c r="BF28" i="55"/>
  <c r="AW28" i="36"/>
  <c r="BU28" i="55" s="1"/>
  <c r="AE9" i="75"/>
  <c r="AV9" i="55"/>
  <c r="BP24" i="55"/>
  <c r="BO24" i="55"/>
  <c r="AO30" i="55"/>
  <c r="AH30" i="55"/>
  <c r="BC17" i="55"/>
  <c r="AV17" i="36"/>
  <c r="BR17" i="55" s="1"/>
  <c r="K13" i="75"/>
  <c r="P13" i="75"/>
  <c r="U13" i="75"/>
  <c r="BG21" i="55"/>
  <c r="BH21" i="55"/>
  <c r="AK21" i="75" s="1"/>
  <c r="BJ21" i="55"/>
  <c r="AS21" i="36"/>
  <c r="BI21" i="55"/>
  <c r="AH32" i="55"/>
  <c r="AO32" i="55"/>
  <c r="BD5" i="55"/>
  <c r="AW5" i="55"/>
  <c r="BB9" i="55"/>
  <c r="AX9" i="55"/>
  <c r="G9" i="75" s="1"/>
  <c r="BE9" i="55"/>
  <c r="BB13" i="55"/>
  <c r="AX13" i="55"/>
  <c r="BE13" i="55"/>
  <c r="AW17" i="55"/>
  <c r="BD17" i="55"/>
  <c r="AM14" i="55"/>
  <c r="Z14" i="75" s="1"/>
  <c r="AI14" i="55"/>
  <c r="F14" i="75" s="1"/>
  <c r="AP14" i="55"/>
  <c r="AP24" i="55"/>
  <c r="AM24" i="55"/>
  <c r="Z24" i="75" s="1"/>
  <c r="AI24" i="55"/>
  <c r="F24" i="75" s="1"/>
  <c r="AY28" i="55"/>
  <c r="AN28" i="36"/>
  <c r="AO28" i="36"/>
  <c r="AP28" i="36"/>
  <c r="T18" i="75"/>
  <c r="O18" i="75"/>
  <c r="J18" i="75"/>
  <c r="BN29" i="55"/>
  <c r="AY29" i="36"/>
  <c r="AX29" i="36"/>
  <c r="AP32" i="75"/>
  <c r="D4" i="1"/>
  <c r="D9" i="1" s="1"/>
  <c r="E11" i="49" s="1"/>
  <c r="J17" i="75"/>
  <c r="T17" i="75"/>
  <c r="O17" i="75"/>
  <c r="BF32" i="55"/>
  <c r="BU32" i="55"/>
  <c r="BF4" i="55"/>
  <c r="AW4" i="36"/>
  <c r="BU4" i="55" s="1"/>
  <c r="AY10" i="55"/>
  <c r="AN10" i="36"/>
  <c r="AP10" i="36"/>
  <c r="AO10" i="36"/>
  <c r="AY12" i="55"/>
  <c r="AN12" i="36"/>
  <c r="AP12" i="36"/>
  <c r="AO12" i="36"/>
  <c r="AO18" i="75"/>
  <c r="AF10" i="75"/>
  <c r="Q25" i="75"/>
  <c r="L25" i="75"/>
  <c r="L23" i="75"/>
  <c r="Q23" i="75"/>
  <c r="BC29" i="55"/>
  <c r="AV29" i="36"/>
  <c r="BR29" i="55" s="1"/>
  <c r="O5" i="75"/>
  <c r="J5" i="75"/>
  <c r="T5" i="75"/>
  <c r="T40" i="19"/>
  <c r="F51" i="1" s="1"/>
  <c r="E51" i="1"/>
  <c r="AE13" i="75"/>
  <c r="AV13" i="55"/>
  <c r="U25" i="75"/>
  <c r="P25" i="75"/>
  <c r="K25" i="75"/>
  <c r="BO8" i="55"/>
  <c r="BP8" i="55"/>
  <c r="BF12" i="55"/>
  <c r="AW12" i="36"/>
  <c r="BU12" i="55" s="1"/>
  <c r="AY16" i="55"/>
  <c r="AN16" i="36"/>
  <c r="AP16" i="36"/>
  <c r="AO16" i="36"/>
  <c r="AP22" i="55"/>
  <c r="AM22" i="55"/>
  <c r="Z22" i="75" s="1"/>
  <c r="AI22" i="55"/>
  <c r="F22" i="75" s="1"/>
  <c r="O30" i="75"/>
  <c r="AO31" i="75"/>
  <c r="BB31" i="55"/>
  <c r="AA31" i="75" s="1"/>
  <c r="AX31" i="55"/>
  <c r="G31" i="75" s="1"/>
  <c r="BE31" i="55"/>
  <c r="T4" i="75"/>
  <c r="O4" i="75"/>
  <c r="E4" i="1"/>
  <c r="J4" i="75"/>
  <c r="T12" i="75"/>
  <c r="O12" i="75"/>
  <c r="J12" i="75"/>
  <c r="M34" i="1"/>
  <c r="BF30" i="55"/>
  <c r="AW30" i="36"/>
  <c r="BU30" i="55" s="1"/>
  <c r="BP14" i="55"/>
  <c r="BO14" i="55"/>
  <c r="AE6" i="75"/>
  <c r="BH5" i="55"/>
  <c r="AK5" i="75" s="1"/>
  <c r="BJ5" i="55"/>
  <c r="BI5" i="55"/>
  <c r="BG5" i="55"/>
  <c r="AS5" i="36"/>
  <c r="AP4" i="55"/>
  <c r="AM4" i="55"/>
  <c r="Z4" i="75" s="1"/>
  <c r="AI4" i="55"/>
  <c r="F4" i="75" s="1"/>
  <c r="AG8" i="55"/>
  <c r="BH11" i="55"/>
  <c r="AK11" i="75" s="1"/>
  <c r="BG11" i="55"/>
  <c r="BJ11" i="55"/>
  <c r="BI11" i="55"/>
  <c r="AS11" i="36"/>
  <c r="AE11" i="75"/>
  <c r="AV11" i="55"/>
  <c r="K23" i="75"/>
  <c r="P23" i="75"/>
  <c r="U23" i="75"/>
  <c r="AE25" i="75"/>
  <c r="AV25" i="55"/>
  <c r="BB7" i="55"/>
  <c r="AX7" i="55"/>
  <c r="BE7" i="55"/>
  <c r="BD11" i="55"/>
  <c r="AW11" i="55"/>
  <c r="BD15" i="55"/>
  <c r="AW15" i="55"/>
  <c r="BB19" i="55"/>
  <c r="AA19" i="75" s="1"/>
  <c r="AX19" i="55"/>
  <c r="G19" i="75" s="1"/>
  <c r="BE19" i="55"/>
  <c r="AY6" i="55"/>
  <c r="AN6" i="36"/>
  <c r="AP6" i="36"/>
  <c r="AO6" i="36"/>
  <c r="BF8" i="55"/>
  <c r="AW8" i="36"/>
  <c r="BU8" i="55" s="1"/>
  <c r="BC15" i="55"/>
  <c r="AV15" i="36"/>
  <c r="BR15" i="55" s="1"/>
  <c r="AY18" i="55"/>
  <c r="AN18" i="36"/>
  <c r="AP18" i="36"/>
  <c r="AO18" i="36"/>
  <c r="AH20" i="55"/>
  <c r="AO20" i="55"/>
  <c r="BC21" i="55"/>
  <c r="AA21" i="75" s="1"/>
  <c r="AV21" i="36"/>
  <c r="BR21" i="55" s="1"/>
  <c r="BF24" i="55"/>
  <c r="AW24" i="36"/>
  <c r="BU24" i="55" s="1"/>
  <c r="AO26" i="75"/>
  <c r="BO32" i="55"/>
  <c r="BP32" i="55"/>
  <c r="T6" i="75"/>
  <c r="O6" i="75"/>
  <c r="J6" i="75"/>
  <c r="BF19" i="55"/>
  <c r="AW19" i="36"/>
  <c r="BU19" i="55" s="1"/>
  <c r="Z29" i="75"/>
  <c r="BQ25" i="55"/>
  <c r="BM25" i="55"/>
  <c r="H25" i="75" s="1"/>
  <c r="BT25" i="55"/>
  <c r="BS23" i="55"/>
  <c r="BL23" i="55"/>
  <c r="AG5" i="55"/>
  <c r="BJ17" i="55"/>
  <c r="BI17" i="55"/>
  <c r="BH17" i="55"/>
  <c r="AK17" i="75" s="1"/>
  <c r="BG17" i="55"/>
  <c r="AS17" i="36"/>
  <c r="AO17" i="75"/>
  <c r="BJ33" i="55"/>
  <c r="BI33" i="55"/>
  <c r="BG33" i="55"/>
  <c r="BH33" i="55"/>
  <c r="AK33" i="75" s="1"/>
  <c r="U40" i="19"/>
  <c r="Z9" i="75"/>
  <c r="AE23" i="75"/>
  <c r="AV23" i="55"/>
  <c r="AG27" i="55"/>
  <c r="BP22" i="55"/>
  <c r="BO22" i="55"/>
  <c r="T29" i="75"/>
  <c r="O29" i="75"/>
  <c r="J29" i="75"/>
  <c r="BE27" i="55" l="1"/>
  <c r="G13" i="75"/>
  <c r="H23" i="75"/>
  <c r="G7" i="75"/>
  <c r="I43" i="1"/>
  <c r="U34" i="19"/>
  <c r="AC34" i="19" s="1"/>
  <c r="H45" i="1" s="1"/>
  <c r="G27" i="75"/>
  <c r="C45" i="1"/>
  <c r="K34" i="19"/>
  <c r="D45" i="1" s="1"/>
  <c r="E45" i="1"/>
  <c r="T34" i="19"/>
  <c r="F45" i="1" s="1"/>
  <c r="AA9" i="75"/>
  <c r="BO13" i="55"/>
  <c r="AB25" i="75"/>
  <c r="AA13" i="75"/>
  <c r="BP21" i="55"/>
  <c r="H21" i="75" s="1"/>
  <c r="BB27" i="55"/>
  <c r="AA27" i="75" s="1"/>
  <c r="AV33" i="55"/>
  <c r="E9" i="1"/>
  <c r="K33" i="75"/>
  <c r="BN27" i="55"/>
  <c r="AA7" i="75"/>
  <c r="AP9" i="75"/>
  <c r="P33" i="75"/>
  <c r="C46" i="1"/>
  <c r="AX27" i="36"/>
  <c r="BL27" i="55" s="1"/>
  <c r="I5" i="1"/>
  <c r="U33" i="75"/>
  <c r="K38" i="19"/>
  <c r="D49" i="1" s="1"/>
  <c r="AA33" i="75"/>
  <c r="C48" i="1"/>
  <c r="AD32" i="19"/>
  <c r="AM2" i="19"/>
  <c r="AD27" i="19"/>
  <c r="AP17" i="75"/>
  <c r="AP15" i="75"/>
  <c r="AV18" i="55"/>
  <c r="E47" i="1"/>
  <c r="AP11" i="75"/>
  <c r="AV6" i="55"/>
  <c r="AP18" i="75"/>
  <c r="AP24" i="75"/>
  <c r="AP4" i="75"/>
  <c r="C42" i="19"/>
  <c r="C6" i="19" s="1"/>
  <c r="C16" i="1" s="1"/>
  <c r="F4" i="1"/>
  <c r="F9" i="1" s="1"/>
  <c r="AP5" i="75"/>
  <c r="AP23" i="75"/>
  <c r="AP19" i="75"/>
  <c r="AP27" i="75"/>
  <c r="U41" i="19"/>
  <c r="G52" i="1" s="1"/>
  <c r="AP13" i="75"/>
  <c r="BN18" i="55"/>
  <c r="AY18" i="36"/>
  <c r="AX18" i="36"/>
  <c r="AY6" i="36"/>
  <c r="AX6" i="36"/>
  <c r="BN6" i="55"/>
  <c r="BX11" i="55"/>
  <c r="BW11" i="55"/>
  <c r="AL11" i="75" s="1"/>
  <c r="BV11" i="55"/>
  <c r="BY11" i="55"/>
  <c r="AQ11" i="75" s="1"/>
  <c r="BV17" i="55"/>
  <c r="BY17" i="55"/>
  <c r="AQ17" i="75" s="1"/>
  <c r="BX17" i="55"/>
  <c r="BW17" i="55"/>
  <c r="AL17" i="75" s="1"/>
  <c r="AW18" i="55"/>
  <c r="BD18" i="55"/>
  <c r="AW6" i="55"/>
  <c r="BD6" i="55"/>
  <c r="BN16" i="55"/>
  <c r="AY16" i="36"/>
  <c r="AX16" i="36"/>
  <c r="BN12" i="55"/>
  <c r="AY12" i="36"/>
  <c r="AX12" i="36"/>
  <c r="BT31" i="55"/>
  <c r="BM31" i="55"/>
  <c r="H31" i="75" s="1"/>
  <c r="BQ31" i="55"/>
  <c r="AB31" i="75" s="1"/>
  <c r="U4" i="75"/>
  <c r="P4" i="75"/>
  <c r="K4" i="75"/>
  <c r="G4" i="1"/>
  <c r="AF6" i="75"/>
  <c r="AY8" i="36"/>
  <c r="AX8" i="36"/>
  <c r="BN8" i="55"/>
  <c r="AF18" i="75"/>
  <c r="BN4" i="55"/>
  <c r="AY4" i="36"/>
  <c r="AX4" i="36"/>
  <c r="AF24" i="75"/>
  <c r="AF7" i="75"/>
  <c r="BK7" i="55"/>
  <c r="U24" i="75"/>
  <c r="P24" i="75"/>
  <c r="K24" i="75"/>
  <c r="AF22" i="75"/>
  <c r="BE14" i="55"/>
  <c r="AX14" i="55"/>
  <c r="G14" i="75" s="1"/>
  <c r="BB14" i="55"/>
  <c r="AA14" i="75" s="1"/>
  <c r="BL9" i="55"/>
  <c r="BS9" i="55"/>
  <c r="BT5" i="55"/>
  <c r="BM5" i="55"/>
  <c r="H5" i="75" s="1"/>
  <c r="BQ5" i="55"/>
  <c r="AB5" i="75" s="1"/>
  <c r="AF15" i="75"/>
  <c r="BK15" i="55"/>
  <c r="K26" i="75"/>
  <c r="U26" i="75"/>
  <c r="P26" i="75"/>
  <c r="AB21" i="75"/>
  <c r="BP30" i="55"/>
  <c r="BO30" i="55"/>
  <c r="BX26" i="55"/>
  <c r="BW26" i="55"/>
  <c r="AL26" i="75" s="1"/>
  <c r="BV26" i="55"/>
  <c r="BY26" i="55"/>
  <c r="AQ26" i="75" s="1"/>
  <c r="BT19" i="55"/>
  <c r="BQ19" i="55"/>
  <c r="AB19" i="75" s="1"/>
  <c r="BM19" i="55"/>
  <c r="H19" i="75" s="1"/>
  <c r="BL7" i="55"/>
  <c r="BS7" i="55"/>
  <c r="E24" i="79"/>
  <c r="BD22" i="55"/>
  <c r="AW22" i="55"/>
  <c r="AF14" i="75"/>
  <c r="U12" i="75"/>
  <c r="P12" i="75"/>
  <c r="K12" i="75"/>
  <c r="Q29" i="75"/>
  <c r="L29" i="75"/>
  <c r="V29" i="75"/>
  <c r="BN30" i="55"/>
  <c r="AY30" i="36"/>
  <c r="AX30" i="36"/>
  <c r="AG8" i="75"/>
  <c r="G51" i="1"/>
  <c r="AC40" i="19"/>
  <c r="H51" i="1" s="1"/>
  <c r="AP33" i="75"/>
  <c r="AF17" i="75"/>
  <c r="BK17" i="55"/>
  <c r="U20" i="75"/>
  <c r="P20" i="75"/>
  <c r="K20" i="75"/>
  <c r="V15" i="75"/>
  <c r="Q15" i="75"/>
  <c r="L15" i="75"/>
  <c r="AF5" i="75"/>
  <c r="BK5" i="55"/>
  <c r="L37" i="19"/>
  <c r="AW16" i="55"/>
  <c r="BD16" i="55"/>
  <c r="AW12" i="55"/>
  <c r="BD12" i="55"/>
  <c r="AW10" i="55"/>
  <c r="BD10" i="55"/>
  <c r="BL29" i="55"/>
  <c r="BS29" i="55"/>
  <c r="AW28" i="55"/>
  <c r="BD28" i="55"/>
  <c r="V5" i="75"/>
  <c r="L5" i="75"/>
  <c r="Q5" i="75"/>
  <c r="P32" i="75"/>
  <c r="K32" i="75"/>
  <c r="U32" i="75"/>
  <c r="AV32" i="55"/>
  <c r="BY25" i="55"/>
  <c r="AQ25" i="75" s="1"/>
  <c r="BX25" i="55"/>
  <c r="BW25" i="55"/>
  <c r="AL25" i="75" s="1"/>
  <c r="BV25" i="55"/>
  <c r="AP25" i="75"/>
  <c r="BL31" i="55"/>
  <c r="BS31" i="55"/>
  <c r="BD26" i="55"/>
  <c r="AW26" i="55"/>
  <c r="AV20" i="55"/>
  <c r="U39" i="19"/>
  <c r="AG28" i="75"/>
  <c r="M25" i="75"/>
  <c r="W25" i="75"/>
  <c r="R25" i="75"/>
  <c r="BN20" i="55"/>
  <c r="AY20" i="36"/>
  <c r="AX20" i="36"/>
  <c r="BY6" i="55"/>
  <c r="AQ6" i="75" s="1"/>
  <c r="BW6" i="55"/>
  <c r="AL6" i="75" s="1"/>
  <c r="BX6" i="55"/>
  <c r="BV6" i="55"/>
  <c r="AP6" i="75"/>
  <c r="V31" i="75"/>
  <c r="Q31" i="75"/>
  <c r="L31" i="75"/>
  <c r="AW8" i="55"/>
  <c r="BD8" i="55"/>
  <c r="U14" i="75"/>
  <c r="P14" i="75"/>
  <c r="K14" i="75"/>
  <c r="AA17" i="75"/>
  <c r="V9" i="75"/>
  <c r="L9" i="75"/>
  <c r="Q9" i="75"/>
  <c r="U22" i="75"/>
  <c r="P22" i="75"/>
  <c r="K22" i="75"/>
  <c r="U8" i="75"/>
  <c r="P8" i="75"/>
  <c r="K8" i="75"/>
  <c r="AV8" i="55"/>
  <c r="AP7" i="75"/>
  <c r="AP29" i="75"/>
  <c r="AV22" i="55"/>
  <c r="AP22" i="75"/>
  <c r="BN14" i="55"/>
  <c r="AY14" i="36"/>
  <c r="AX14" i="36"/>
  <c r="BL13" i="55"/>
  <c r="BS13" i="55"/>
  <c r="BQ9" i="55"/>
  <c r="AB9" i="75" s="1"/>
  <c r="BM9" i="55"/>
  <c r="H9" i="75" s="1"/>
  <c r="BT9" i="55"/>
  <c r="BX15" i="55"/>
  <c r="BW15" i="55"/>
  <c r="AL15" i="75" s="1"/>
  <c r="BV15" i="55"/>
  <c r="BY15" i="55"/>
  <c r="AQ15" i="75" s="1"/>
  <c r="BV9" i="55"/>
  <c r="BY9" i="55"/>
  <c r="AQ9" i="75" s="1"/>
  <c r="BX9" i="55"/>
  <c r="BW9" i="55"/>
  <c r="AL9" i="75" s="1"/>
  <c r="BW20" i="55"/>
  <c r="AL20" i="75" s="1"/>
  <c r="BV20" i="55"/>
  <c r="BY20" i="55"/>
  <c r="AQ20" i="75" s="1"/>
  <c r="BX20" i="55"/>
  <c r="AF20" i="75"/>
  <c r="AP26" i="75"/>
  <c r="AP12" i="75"/>
  <c r="BL11" i="55"/>
  <c r="BS11" i="55"/>
  <c r="BT7" i="55"/>
  <c r="BQ7" i="55"/>
  <c r="AB7" i="75" s="1"/>
  <c r="BM7" i="55"/>
  <c r="H7" i="75" s="1"/>
  <c r="AF31" i="75"/>
  <c r="BK31" i="55"/>
  <c r="BB22" i="55"/>
  <c r="AA22" i="75" s="1"/>
  <c r="AX22" i="55"/>
  <c r="G22" i="75" s="1"/>
  <c r="BE22" i="55"/>
  <c r="P16" i="75"/>
  <c r="K16" i="75"/>
  <c r="U16" i="75"/>
  <c r="AV16" i="55"/>
  <c r="BV13" i="55"/>
  <c r="BY13" i="55"/>
  <c r="AQ13" i="75" s="1"/>
  <c r="BX13" i="55"/>
  <c r="BW13" i="55"/>
  <c r="AL13" i="75" s="1"/>
  <c r="U10" i="75"/>
  <c r="P10" i="75"/>
  <c r="K10" i="75"/>
  <c r="AV10" i="55"/>
  <c r="AG32" i="75"/>
  <c r="BB24" i="55"/>
  <c r="AA24" i="75" s="1"/>
  <c r="AX24" i="55"/>
  <c r="G24" i="75" s="1"/>
  <c r="BE24" i="55"/>
  <c r="BB32" i="55"/>
  <c r="AA32" i="75" s="1"/>
  <c r="AX32" i="55"/>
  <c r="G32" i="75" s="1"/>
  <c r="BE32" i="55"/>
  <c r="AW30" i="55"/>
  <c r="BD30" i="55"/>
  <c r="BV4" i="55"/>
  <c r="BY4" i="55"/>
  <c r="AQ4" i="75" s="1"/>
  <c r="BX4" i="55"/>
  <c r="BW4" i="55"/>
  <c r="AL4" i="75" s="1"/>
  <c r="D46" i="1"/>
  <c r="K42" i="19"/>
  <c r="K44" i="19" s="1"/>
  <c r="V11" i="75"/>
  <c r="L11" i="75"/>
  <c r="Q11" i="75"/>
  <c r="AF33" i="75"/>
  <c r="BK33" i="55"/>
  <c r="BX5" i="55"/>
  <c r="BY5" i="55"/>
  <c r="AQ5" i="75" s="1"/>
  <c r="BW5" i="55"/>
  <c r="AL5" i="75" s="1"/>
  <c r="BV5" i="55"/>
  <c r="BN10" i="55"/>
  <c r="AY10" i="36"/>
  <c r="AX10" i="36"/>
  <c r="BB28" i="55"/>
  <c r="AA28" i="75" s="1"/>
  <c r="AX28" i="55"/>
  <c r="G28" i="75" s="1"/>
  <c r="BE28" i="55"/>
  <c r="P30" i="75"/>
  <c r="K30" i="75"/>
  <c r="U30" i="75"/>
  <c r="AV30" i="55"/>
  <c r="BT27" i="55"/>
  <c r="BM27" i="55"/>
  <c r="H27" i="75" s="1"/>
  <c r="BQ27" i="55"/>
  <c r="AB27" i="75" s="1"/>
  <c r="AV14" i="55"/>
  <c r="BB26" i="55"/>
  <c r="AA26" i="75" s="1"/>
  <c r="AX26" i="55"/>
  <c r="G26" i="75" s="1"/>
  <c r="BE26" i="55"/>
  <c r="BB20" i="55"/>
  <c r="AA20" i="75" s="1"/>
  <c r="AX20" i="55"/>
  <c r="G20" i="75" s="1"/>
  <c r="BE20" i="55"/>
  <c r="BV33" i="55"/>
  <c r="BY33" i="55"/>
  <c r="AQ33" i="75" s="1"/>
  <c r="BW33" i="55"/>
  <c r="AL33" i="75" s="1"/>
  <c r="BX33" i="55"/>
  <c r="W23" i="75"/>
  <c r="R23" i="75"/>
  <c r="M23" i="75"/>
  <c r="BE18" i="55"/>
  <c r="BB18" i="55"/>
  <c r="AA18" i="75" s="1"/>
  <c r="AX18" i="55"/>
  <c r="G18" i="75" s="1"/>
  <c r="BE6" i="55"/>
  <c r="BB6" i="55"/>
  <c r="AA6" i="75" s="1"/>
  <c r="AX6" i="55"/>
  <c r="G6" i="75" s="1"/>
  <c r="AF11" i="75"/>
  <c r="BK11" i="55"/>
  <c r="U36" i="19"/>
  <c r="L38" i="19"/>
  <c r="BQ29" i="55"/>
  <c r="AB29" i="75" s="1"/>
  <c r="BM29" i="55"/>
  <c r="H29" i="75" s="1"/>
  <c r="BT29" i="55"/>
  <c r="V17" i="75"/>
  <c r="Q17" i="75"/>
  <c r="L17" i="75"/>
  <c r="AP21" i="75"/>
  <c r="AF21" i="75"/>
  <c r="BK21" i="55"/>
  <c r="U6" i="75"/>
  <c r="P6" i="75"/>
  <c r="K6" i="75"/>
  <c r="AA15" i="75"/>
  <c r="BW23" i="55"/>
  <c r="AL23" i="75" s="1"/>
  <c r="BV23" i="55"/>
  <c r="BY23" i="55"/>
  <c r="AQ23" i="75" s="1"/>
  <c r="BX23" i="55"/>
  <c r="AF23" i="75"/>
  <c r="BK23" i="55"/>
  <c r="BQ33" i="55"/>
  <c r="AB33" i="75" s="1"/>
  <c r="BM33" i="55"/>
  <c r="H33" i="75" s="1"/>
  <c r="BT33" i="55"/>
  <c r="AW20" i="55"/>
  <c r="BD20" i="55"/>
  <c r="AV12" i="55"/>
  <c r="T39" i="19"/>
  <c r="F50" i="1" s="1"/>
  <c r="E50" i="1"/>
  <c r="BY18" i="55"/>
  <c r="AQ18" i="75" s="1"/>
  <c r="BX18" i="55"/>
  <c r="BW18" i="55"/>
  <c r="AL18" i="75" s="1"/>
  <c r="BV18" i="55"/>
  <c r="K28" i="75"/>
  <c r="U28" i="75"/>
  <c r="P28" i="75"/>
  <c r="AV28" i="55"/>
  <c r="AA5" i="75"/>
  <c r="AG30" i="75"/>
  <c r="W21" i="75"/>
  <c r="R21" i="75"/>
  <c r="M21" i="75"/>
  <c r="V19" i="75"/>
  <c r="L19" i="75"/>
  <c r="Q19" i="75"/>
  <c r="AA11" i="75"/>
  <c r="AF19" i="75"/>
  <c r="BK19" i="55"/>
  <c r="AW4" i="55"/>
  <c r="BD4" i="55"/>
  <c r="BV29" i="55"/>
  <c r="BY29" i="55"/>
  <c r="AQ29" i="75" s="1"/>
  <c r="BX29" i="55"/>
  <c r="BW29" i="55"/>
  <c r="AL29" i="75" s="1"/>
  <c r="AW14" i="55"/>
  <c r="BD14" i="55"/>
  <c r="BL17" i="55"/>
  <c r="BS17" i="55"/>
  <c r="BQ13" i="55"/>
  <c r="AB13" i="75" s="1"/>
  <c r="BM13" i="55"/>
  <c r="H13" i="75" s="1"/>
  <c r="BT13" i="55"/>
  <c r="AF9" i="75"/>
  <c r="BK9" i="55"/>
  <c r="N34" i="1"/>
  <c r="E14" i="74"/>
  <c r="AV26" i="55"/>
  <c r="BL15" i="55"/>
  <c r="BS15" i="55"/>
  <c r="BT11" i="55"/>
  <c r="BQ11" i="55"/>
  <c r="AB11" i="75" s="1"/>
  <c r="BM11" i="55"/>
  <c r="H11" i="75" s="1"/>
  <c r="BX31" i="55"/>
  <c r="BW31" i="55"/>
  <c r="AL31" i="75" s="1"/>
  <c r="BV31" i="55"/>
  <c r="BY31" i="55"/>
  <c r="AQ31" i="75" s="1"/>
  <c r="BN22" i="55"/>
  <c r="AY22" i="36"/>
  <c r="AX22" i="36"/>
  <c r="AF27" i="75"/>
  <c r="BK27" i="55"/>
  <c r="AF13" i="75"/>
  <c r="BK13" i="55"/>
  <c r="AG10" i="75"/>
  <c r="BY14" i="55"/>
  <c r="AQ14" i="75" s="1"/>
  <c r="BX14" i="55"/>
  <c r="BW14" i="55"/>
  <c r="AL14" i="75" s="1"/>
  <c r="BV14" i="55"/>
  <c r="AP14" i="75"/>
  <c r="BN24" i="55"/>
  <c r="AY24" i="36"/>
  <c r="AX24" i="36"/>
  <c r="BN32" i="55"/>
  <c r="AF4" i="75"/>
  <c r="I8" i="1"/>
  <c r="L35" i="19"/>
  <c r="BB16" i="55"/>
  <c r="AA16" i="75" s="1"/>
  <c r="AX16" i="55"/>
  <c r="G16" i="75" s="1"/>
  <c r="BE16" i="55"/>
  <c r="BB12" i="55"/>
  <c r="AA12" i="75" s="1"/>
  <c r="AX12" i="55"/>
  <c r="G12" i="75" s="1"/>
  <c r="BE12" i="55"/>
  <c r="BE10" i="55"/>
  <c r="BB10" i="55"/>
  <c r="AA10" i="75" s="1"/>
  <c r="AX10" i="55"/>
  <c r="G10" i="75" s="1"/>
  <c r="BN28" i="55"/>
  <c r="AY28" i="36"/>
  <c r="AX28" i="36"/>
  <c r="BW21" i="55"/>
  <c r="AL21" i="75" s="1"/>
  <c r="BX21" i="55"/>
  <c r="BV21" i="55"/>
  <c r="BY21" i="55"/>
  <c r="AQ21" i="75" s="1"/>
  <c r="V7" i="75"/>
  <c r="L7" i="75"/>
  <c r="Q7" i="75"/>
  <c r="AF25" i="75"/>
  <c r="BK25" i="55"/>
  <c r="BS27" i="55"/>
  <c r="AG16" i="75"/>
  <c r="BN26" i="55"/>
  <c r="AY26" i="36"/>
  <c r="AX26" i="36"/>
  <c r="AV4" i="55"/>
  <c r="BL33" i="55"/>
  <c r="BS33" i="55"/>
  <c r="G7" i="1"/>
  <c r="AV24" i="55"/>
  <c r="Q27" i="75"/>
  <c r="L27" i="75"/>
  <c r="V27" i="75"/>
  <c r="BE8" i="55"/>
  <c r="BB8" i="55"/>
  <c r="AA8" i="75" s="1"/>
  <c r="AX8" i="55"/>
  <c r="G8" i="75" s="1"/>
  <c r="AA29" i="75"/>
  <c r="V13" i="75"/>
  <c r="L13" i="75"/>
  <c r="Q13" i="75"/>
  <c r="V33" i="75"/>
  <c r="Q33" i="75"/>
  <c r="L33" i="75"/>
  <c r="BX19" i="55"/>
  <c r="BW19" i="55"/>
  <c r="AL19" i="75" s="1"/>
  <c r="BV19" i="55"/>
  <c r="BY19" i="55"/>
  <c r="AQ19" i="75" s="1"/>
  <c r="BB4" i="55"/>
  <c r="AX4" i="55"/>
  <c r="G4" i="75" s="1"/>
  <c r="BE4" i="55"/>
  <c r="BV24" i="55"/>
  <c r="BY24" i="55"/>
  <c r="AQ24" i="75" s="1"/>
  <c r="BX24" i="55"/>
  <c r="BW24" i="55"/>
  <c r="AL24" i="75" s="1"/>
  <c r="BX7" i="55"/>
  <c r="BV7" i="55"/>
  <c r="BY7" i="55"/>
  <c r="AQ7" i="75" s="1"/>
  <c r="BW7" i="55"/>
  <c r="AL7" i="75" s="1"/>
  <c r="AF29" i="75"/>
  <c r="BK29" i="55"/>
  <c r="BX22" i="55"/>
  <c r="BV22" i="55"/>
  <c r="BY22" i="55"/>
  <c r="AQ22" i="75" s="1"/>
  <c r="BW22" i="55"/>
  <c r="AL22" i="75" s="1"/>
  <c r="BQ17" i="55"/>
  <c r="AB17" i="75" s="1"/>
  <c r="BM17" i="55"/>
  <c r="H17" i="75" s="1"/>
  <c r="BT17" i="55"/>
  <c r="BL5" i="55"/>
  <c r="BS5" i="55"/>
  <c r="AP20" i="75"/>
  <c r="AF26" i="75"/>
  <c r="BW12" i="55"/>
  <c r="AL12" i="75" s="1"/>
  <c r="BV12" i="55"/>
  <c r="BY12" i="55"/>
  <c r="AQ12" i="75" s="1"/>
  <c r="BX12" i="55"/>
  <c r="AF12" i="75"/>
  <c r="BL19" i="55"/>
  <c r="BS19" i="55"/>
  <c r="BT15" i="55"/>
  <c r="BQ15" i="55"/>
  <c r="AB15" i="75" s="1"/>
  <c r="BM15" i="55"/>
  <c r="H15" i="75" s="1"/>
  <c r="AP31" i="75"/>
  <c r="BX27" i="55"/>
  <c r="BW27" i="55"/>
  <c r="AL27" i="75" s="1"/>
  <c r="BV27" i="55"/>
  <c r="BY27" i="55"/>
  <c r="AQ27" i="75" s="1"/>
  <c r="B24" i="79"/>
  <c r="AW24" i="55"/>
  <c r="BD24" i="55"/>
  <c r="AW32" i="55"/>
  <c r="BD32" i="55"/>
  <c r="BE30" i="55"/>
  <c r="BB30" i="55"/>
  <c r="AA30" i="75" s="1"/>
  <c r="AX30" i="55"/>
  <c r="G30" i="75" s="1"/>
  <c r="AD40" i="19"/>
  <c r="P18" i="75"/>
  <c r="K18" i="75"/>
  <c r="U18" i="75"/>
  <c r="G45" i="1" l="1"/>
  <c r="AD34" i="19"/>
  <c r="K5" i="1"/>
  <c r="AC41" i="19"/>
  <c r="H52" i="1" s="1"/>
  <c r="BK24" i="55"/>
  <c r="K6" i="19"/>
  <c r="D16" i="1" s="1"/>
  <c r="D35" i="1" s="1"/>
  <c r="AM27" i="19"/>
  <c r="AM32" i="19"/>
  <c r="BK4" i="55"/>
  <c r="BK26" i="55"/>
  <c r="BK12" i="55"/>
  <c r="BK14" i="55"/>
  <c r="BK18" i="55"/>
  <c r="BK6" i="55"/>
  <c r="BK20" i="55"/>
  <c r="AD41" i="19"/>
  <c r="I52" i="1" s="1"/>
  <c r="AL40" i="19"/>
  <c r="J51" i="1" s="1"/>
  <c r="I51" i="1"/>
  <c r="AG12" i="75"/>
  <c r="AG22" i="75"/>
  <c r="AG19" i="75"/>
  <c r="BZ19" i="55"/>
  <c r="H4" i="1"/>
  <c r="H9" i="1" s="1"/>
  <c r="BQ32" i="55"/>
  <c r="AB32" i="75" s="1"/>
  <c r="BM32" i="55"/>
  <c r="H32" i="75" s="1"/>
  <c r="BT32" i="55"/>
  <c r="BL22" i="55"/>
  <c r="BS22" i="55"/>
  <c r="AG31" i="75"/>
  <c r="BZ31" i="55"/>
  <c r="G47" i="1"/>
  <c r="AC36" i="19"/>
  <c r="H47" i="1" s="1"/>
  <c r="AG5" i="75"/>
  <c r="BZ5" i="55"/>
  <c r="AM40" i="19"/>
  <c r="W13" i="75"/>
  <c r="R13" i="75"/>
  <c r="M13" i="75"/>
  <c r="Q8" i="75"/>
  <c r="L8" i="75"/>
  <c r="V8" i="75"/>
  <c r="BK8" i="55"/>
  <c r="R31" i="75"/>
  <c r="M31" i="75"/>
  <c r="W31" i="75"/>
  <c r="M29" i="75"/>
  <c r="W29" i="75"/>
  <c r="R29" i="75"/>
  <c r="Q12" i="75"/>
  <c r="L12" i="75"/>
  <c r="V12" i="75"/>
  <c r="BQ30" i="55"/>
  <c r="AB30" i="75" s="1"/>
  <c r="BM30" i="55"/>
  <c r="H30" i="75" s="1"/>
  <c r="BT30" i="55"/>
  <c r="AG26" i="75"/>
  <c r="BL4" i="55"/>
  <c r="BS4" i="55"/>
  <c r="U37" i="19"/>
  <c r="BQ18" i="55"/>
  <c r="AB18" i="75" s="1"/>
  <c r="BM18" i="55"/>
  <c r="H18" i="75" s="1"/>
  <c r="BT18" i="55"/>
  <c r="L32" i="75"/>
  <c r="V32" i="75"/>
  <c r="Q32" i="75"/>
  <c r="BK32" i="55"/>
  <c r="BL26" i="55"/>
  <c r="BS26" i="55"/>
  <c r="BS28" i="55"/>
  <c r="BL28" i="55"/>
  <c r="BT22" i="55"/>
  <c r="BM22" i="55"/>
  <c r="H22" i="75" s="1"/>
  <c r="BQ22" i="55"/>
  <c r="AB22" i="75" s="1"/>
  <c r="E14" i="79"/>
  <c r="E18" i="74"/>
  <c r="R17" i="75"/>
  <c r="M17" i="75"/>
  <c r="W17" i="75"/>
  <c r="Q4" i="75"/>
  <c r="L4" i="75"/>
  <c r="V4" i="75"/>
  <c r="I4" i="1"/>
  <c r="BL10" i="55"/>
  <c r="BS10" i="55"/>
  <c r="V30" i="75"/>
  <c r="L30" i="75"/>
  <c r="Q30" i="75"/>
  <c r="BK30" i="55"/>
  <c r="AG13" i="75"/>
  <c r="BZ13" i="55"/>
  <c r="AG15" i="75"/>
  <c r="BZ15" i="55"/>
  <c r="BL14" i="55"/>
  <c r="BS14" i="55"/>
  <c r="AG6" i="75"/>
  <c r="BS20" i="55"/>
  <c r="BL20" i="55"/>
  <c r="AC39" i="19"/>
  <c r="H50" i="1" s="1"/>
  <c r="G50" i="1"/>
  <c r="BQ4" i="55"/>
  <c r="AB4" i="75" s="1"/>
  <c r="BM4" i="55"/>
  <c r="H4" i="75" s="1"/>
  <c r="BT4" i="55"/>
  <c r="U38" i="19"/>
  <c r="BS12" i="55"/>
  <c r="BL12" i="55"/>
  <c r="BS16" i="55"/>
  <c r="BL16" i="55"/>
  <c r="Q6" i="75"/>
  <c r="L6" i="75"/>
  <c r="V6" i="75"/>
  <c r="AG11" i="75"/>
  <c r="BZ11" i="55"/>
  <c r="BS6" i="55"/>
  <c r="BL6" i="55"/>
  <c r="W5" i="75"/>
  <c r="R5" i="75"/>
  <c r="M5" i="75"/>
  <c r="AG7" i="75"/>
  <c r="BZ7" i="55"/>
  <c r="AA4" i="75"/>
  <c r="AD36" i="19" s="1"/>
  <c r="I7" i="1"/>
  <c r="BT26" i="55"/>
  <c r="BQ26" i="55"/>
  <c r="AB26" i="75" s="1"/>
  <c r="BM26" i="55"/>
  <c r="H26" i="75" s="1"/>
  <c r="AG21" i="75"/>
  <c r="BZ21" i="55"/>
  <c r="BM28" i="55"/>
  <c r="H28" i="75" s="1"/>
  <c r="BT28" i="55"/>
  <c r="BQ28" i="55"/>
  <c r="AB28" i="75" s="1"/>
  <c r="T35" i="19"/>
  <c r="E46" i="1"/>
  <c r="L42" i="19"/>
  <c r="L6" i="19" s="1"/>
  <c r="AD39" i="19"/>
  <c r="BL24" i="55"/>
  <c r="BS24" i="55"/>
  <c r="AG14" i="75"/>
  <c r="BQ10" i="55"/>
  <c r="AB10" i="75" s="1"/>
  <c r="BM10" i="55"/>
  <c r="H10" i="75" s="1"/>
  <c r="BT10" i="55"/>
  <c r="AM41" i="19"/>
  <c r="AG20" i="75"/>
  <c r="BQ14" i="55"/>
  <c r="AB14" i="75" s="1"/>
  <c r="BM14" i="55"/>
  <c r="H14" i="75" s="1"/>
  <c r="BT14" i="55"/>
  <c r="BQ20" i="55"/>
  <c r="AB20" i="75" s="1"/>
  <c r="BM20" i="55"/>
  <c r="H20" i="75" s="1"/>
  <c r="BT20" i="55"/>
  <c r="AG25" i="75"/>
  <c r="BZ25" i="55"/>
  <c r="V28" i="75"/>
  <c r="L28" i="75"/>
  <c r="Q28" i="75"/>
  <c r="BK28" i="55"/>
  <c r="Q10" i="75"/>
  <c r="L10" i="75"/>
  <c r="V10" i="75"/>
  <c r="BK10" i="55"/>
  <c r="L16" i="75"/>
  <c r="Q16" i="75"/>
  <c r="V16" i="75"/>
  <c r="BK16" i="55"/>
  <c r="Q22" i="75"/>
  <c r="L22" i="75"/>
  <c r="V22" i="75"/>
  <c r="BS8" i="55"/>
  <c r="BL8" i="55"/>
  <c r="G9" i="1"/>
  <c r="BQ12" i="55"/>
  <c r="AB12" i="75" s="1"/>
  <c r="BM12" i="55"/>
  <c r="H12" i="75" s="1"/>
  <c r="BT12" i="55"/>
  <c r="BQ16" i="55"/>
  <c r="AB16" i="75" s="1"/>
  <c r="BM16" i="55"/>
  <c r="H16" i="75" s="1"/>
  <c r="BT16" i="55"/>
  <c r="BQ6" i="55"/>
  <c r="AB6" i="75" s="1"/>
  <c r="BM6" i="55"/>
  <c r="H6" i="75" s="1"/>
  <c r="BT6" i="55"/>
  <c r="C35" i="1"/>
  <c r="Q24" i="75"/>
  <c r="L24" i="75"/>
  <c r="V24" i="75"/>
  <c r="AG27" i="75"/>
  <c r="BZ27" i="55"/>
  <c r="R19" i="75"/>
  <c r="M19" i="75"/>
  <c r="W19" i="75"/>
  <c r="AG24" i="75"/>
  <c r="R33" i="75"/>
  <c r="M33" i="75"/>
  <c r="W33" i="75"/>
  <c r="M27" i="75"/>
  <c r="W27" i="75"/>
  <c r="R27" i="75"/>
  <c r="BS32" i="55"/>
  <c r="BL32" i="55"/>
  <c r="BQ24" i="55"/>
  <c r="AB24" i="75" s="1"/>
  <c r="BM24" i="55"/>
  <c r="H24" i="75" s="1"/>
  <c r="BT24" i="55"/>
  <c r="R15" i="75"/>
  <c r="M15" i="75"/>
  <c r="W15" i="75"/>
  <c r="V14" i="75"/>
  <c r="Q14" i="75"/>
  <c r="L14" i="75"/>
  <c r="AG29" i="75"/>
  <c r="BZ29" i="55"/>
  <c r="AG18" i="75"/>
  <c r="Q20" i="75"/>
  <c r="L20" i="75"/>
  <c r="V20" i="75"/>
  <c r="BZ23" i="55"/>
  <c r="AG23" i="75"/>
  <c r="T38" i="19"/>
  <c r="F49" i="1" s="1"/>
  <c r="E49" i="1"/>
  <c r="AG33" i="75"/>
  <c r="BZ33" i="55"/>
  <c r="AG4" i="75"/>
  <c r="K8" i="1"/>
  <c r="W11" i="75"/>
  <c r="R11" i="75"/>
  <c r="M11" i="75"/>
  <c r="AG9" i="75"/>
  <c r="BZ9" i="55"/>
  <c r="V26" i="75"/>
  <c r="L26" i="75"/>
  <c r="Q26" i="75"/>
  <c r="T37" i="19"/>
  <c r="F48" i="1" s="1"/>
  <c r="E48" i="1"/>
  <c r="BL30" i="55"/>
  <c r="BS30" i="55"/>
  <c r="W7" i="75"/>
  <c r="R7" i="75"/>
  <c r="M7" i="75"/>
  <c r="W9" i="75"/>
  <c r="R9" i="75"/>
  <c r="M9" i="75"/>
  <c r="BK22" i="55"/>
  <c r="BQ8" i="55"/>
  <c r="AB8" i="75" s="1"/>
  <c r="BM8" i="55"/>
  <c r="H8" i="75" s="1"/>
  <c r="BT8" i="55"/>
  <c r="U35" i="19"/>
  <c r="L18" i="75"/>
  <c r="Q18" i="75"/>
  <c r="V18" i="75"/>
  <c r="AG17" i="75"/>
  <c r="BZ17" i="55"/>
  <c r="BL18" i="55"/>
  <c r="BS18" i="55"/>
  <c r="AM34" i="19" l="1"/>
  <c r="I45" i="1"/>
  <c r="AL34" i="19"/>
  <c r="J45" i="1" s="1"/>
  <c r="BZ18" i="55"/>
  <c r="J4" i="1"/>
  <c r="J9" i="1" s="1"/>
  <c r="BZ12" i="55"/>
  <c r="BZ20" i="55"/>
  <c r="BZ22" i="55"/>
  <c r="AL41" i="19"/>
  <c r="J52" i="1" s="1"/>
  <c r="BZ26" i="55"/>
  <c r="BZ24" i="55"/>
  <c r="BZ6" i="55"/>
  <c r="AL36" i="19"/>
  <c r="J47" i="1" s="1"/>
  <c r="I47" i="1"/>
  <c r="AM36" i="19"/>
  <c r="M4" i="75"/>
  <c r="W4" i="75"/>
  <c r="R4" i="75"/>
  <c r="K4" i="1"/>
  <c r="AC35" i="19"/>
  <c r="G46" i="1"/>
  <c r="U42" i="19"/>
  <c r="U6" i="19" s="1"/>
  <c r="BZ4" i="55"/>
  <c r="AU41" i="19"/>
  <c r="L52" i="1" s="1"/>
  <c r="N52" i="1" s="1"/>
  <c r="K52" i="1"/>
  <c r="W16" i="75"/>
  <c r="R16" i="75"/>
  <c r="M16" i="75"/>
  <c r="BZ16" i="55"/>
  <c r="G49" i="1"/>
  <c r="AC38" i="19"/>
  <c r="H49" i="1" s="1"/>
  <c r="AD35" i="19"/>
  <c r="E9" i="49"/>
  <c r="E18" i="49"/>
  <c r="E13" i="49"/>
  <c r="M14" i="75"/>
  <c r="W14" i="75"/>
  <c r="R14" i="75"/>
  <c r="AD38" i="19"/>
  <c r="W30" i="75"/>
  <c r="R30" i="75"/>
  <c r="M30" i="75"/>
  <c r="BZ30" i="55"/>
  <c r="AM39" i="19"/>
  <c r="W32" i="75"/>
  <c r="R32" i="75"/>
  <c r="M32" i="75"/>
  <c r="BZ32" i="55"/>
  <c r="M8" i="75"/>
  <c r="W8" i="75"/>
  <c r="R8" i="75"/>
  <c r="BZ8" i="55"/>
  <c r="M24" i="75"/>
  <c r="W24" i="75"/>
  <c r="R24" i="75"/>
  <c r="F46" i="1"/>
  <c r="T42" i="19"/>
  <c r="T44" i="19" s="1"/>
  <c r="M6" i="75"/>
  <c r="W6" i="75"/>
  <c r="R6" i="75"/>
  <c r="M10" i="75"/>
  <c r="W10" i="75"/>
  <c r="R10" i="75"/>
  <c r="BZ10" i="55"/>
  <c r="AD37" i="19"/>
  <c r="E18" i="79"/>
  <c r="W26" i="75"/>
  <c r="R26" i="75"/>
  <c r="M26" i="75"/>
  <c r="AC37" i="19"/>
  <c r="H48" i="1" s="1"/>
  <c r="G48" i="1"/>
  <c r="K51" i="1"/>
  <c r="M51" i="1" s="1"/>
  <c r="AU40" i="19"/>
  <c r="L51" i="1" s="1"/>
  <c r="N51" i="1" s="1"/>
  <c r="M52" i="1"/>
  <c r="E16" i="1"/>
  <c r="T6" i="19"/>
  <c r="F16" i="1" s="1"/>
  <c r="W18" i="75"/>
  <c r="R18" i="75"/>
  <c r="M18" i="75"/>
  <c r="BZ14" i="55"/>
  <c r="AL39" i="19"/>
  <c r="J50" i="1" s="1"/>
  <c r="I50" i="1"/>
  <c r="M12" i="75"/>
  <c r="W12" i="75"/>
  <c r="R12" i="75"/>
  <c r="M20" i="75"/>
  <c r="W20" i="75"/>
  <c r="R20" i="75"/>
  <c r="I9" i="1"/>
  <c r="W28" i="75"/>
  <c r="R28" i="75"/>
  <c r="M28" i="75"/>
  <c r="BZ28" i="55"/>
  <c r="K7" i="1"/>
  <c r="M22" i="75"/>
  <c r="W22" i="75"/>
  <c r="R22" i="75"/>
  <c r="AU34" i="19" l="1"/>
  <c r="L45" i="1" s="1"/>
  <c r="N45" i="1" s="1"/>
  <c r="K45" i="1"/>
  <c r="M45" i="1" s="1"/>
  <c r="K9" i="1"/>
  <c r="AL37" i="19"/>
  <c r="J48" i="1" s="1"/>
  <c r="I48" i="1"/>
  <c r="AL38" i="19"/>
  <c r="J49" i="1" s="1"/>
  <c r="I49" i="1"/>
  <c r="AL35" i="19"/>
  <c r="I46" i="1"/>
  <c r="AD42" i="19"/>
  <c r="AD6" i="19" s="1"/>
  <c r="G16" i="1"/>
  <c r="G35" i="1" s="1"/>
  <c r="AC6" i="19"/>
  <c r="H16" i="1" s="1"/>
  <c r="H35" i="1" s="1"/>
  <c r="AM37" i="19"/>
  <c r="E35" i="1"/>
  <c r="L4" i="1"/>
  <c r="L9" i="1" s="1"/>
  <c r="K47" i="1"/>
  <c r="M47" i="1" s="1"/>
  <c r="AU36" i="19"/>
  <c r="L47" i="1" s="1"/>
  <c r="N47" i="1" s="1"/>
  <c r="AM38" i="19"/>
  <c r="F35" i="1"/>
  <c r="AU39" i="19"/>
  <c r="L50" i="1" s="1"/>
  <c r="N50" i="1" s="1"/>
  <c r="K50" i="1"/>
  <c r="M50" i="1" s="1"/>
  <c r="H46" i="1"/>
  <c r="AC42" i="19"/>
  <c r="AC44" i="19" s="1"/>
  <c r="AM35" i="19"/>
  <c r="I16" i="1" l="1"/>
  <c r="AL6" i="19"/>
  <c r="J16" i="1" s="1"/>
  <c r="AU37" i="19"/>
  <c r="L48" i="1" s="1"/>
  <c r="N48" i="1" s="1"/>
  <c r="K48" i="1"/>
  <c r="M48" i="1" s="1"/>
  <c r="AU35" i="19"/>
  <c r="K46" i="1"/>
  <c r="M46" i="1" s="1"/>
  <c r="AM42" i="19"/>
  <c r="AM6" i="19" s="1"/>
  <c r="K49" i="1"/>
  <c r="M49" i="1" s="1"/>
  <c r="AU38" i="19"/>
  <c r="L49" i="1" s="1"/>
  <c r="N49" i="1" s="1"/>
  <c r="J46" i="1"/>
  <c r="AL42" i="19"/>
  <c r="AL44" i="19" s="1"/>
  <c r="K16" i="1" l="1"/>
  <c r="K35" i="1" s="1"/>
  <c r="AU6" i="19"/>
  <c r="L16" i="1" s="1"/>
  <c r="L35" i="1" s="1"/>
  <c r="J35" i="1"/>
  <c r="I35" i="1"/>
  <c r="L46" i="1"/>
  <c r="N46" i="1" s="1"/>
  <c r="AU42" i="19"/>
  <c r="AU44" i="19" s="1"/>
  <c r="M16" i="1" l="1"/>
  <c r="M35" i="1" s="1"/>
  <c r="N16" i="1"/>
  <c r="E6" i="74" s="1"/>
  <c r="N35" i="1" l="1"/>
  <c r="B6" i="79"/>
  <c r="B12" i="74"/>
  <c r="E6" i="79"/>
  <c r="E12" i="74"/>
  <c r="E12" i="79" l="1"/>
  <c r="E31" i="74"/>
  <c r="E31" i="79" s="1"/>
  <c r="B12" i="79"/>
  <c r="B31" i="74"/>
  <c r="B31" i="79" s="1"/>
</calcChain>
</file>

<file path=xl/comments1.xml><?xml version="1.0" encoding="utf-8"?>
<comments xmlns="http://schemas.openxmlformats.org/spreadsheetml/2006/main">
  <authors>
    <author>Yajima AYA</author>
  </authors>
  <commentList>
    <comment ref="D2" authorId="0" shapeId="0">
      <text>
        <r>
          <rPr>
            <sz val="10"/>
            <rFont val="Tahoma"/>
            <family val="2"/>
          </rPr>
          <t>SVP entrez comme ceci:
0: Non-endémique
1: Endémique
2: Pas de données</t>
        </r>
      </text>
    </comment>
    <comment ref="K2" authorId="0" shapeId="0">
      <text>
        <r>
          <rPr>
            <sz val="10"/>
            <rFont val="Tahoma"/>
            <family val="2"/>
          </rPr>
          <t>SVP entrez comme ceci:
0: Non-endémique
1: Endémique
2: Pas de données</t>
        </r>
      </text>
    </comment>
    <comment ref="R2" authorId="0" shapeId="0">
      <text>
        <r>
          <rPr>
            <sz val="10"/>
            <rFont val="Tahoma"/>
            <family val="2"/>
          </rPr>
          <t>SVP entrez comme ceci:
0: Non-endémique
1: Endémique
2: Pas de données</t>
        </r>
      </text>
    </comment>
    <comment ref="Y2" authorId="0" shapeId="0">
      <text>
        <r>
          <rPr>
            <sz val="10"/>
            <rFont val="Tahoma"/>
            <family val="2"/>
          </rPr>
          <t>SVP entrez comme ceci:
0: Non-endémique
1: Endémique
2: Pas de données</t>
        </r>
      </text>
    </comment>
    <comment ref="AF2" authorId="0" shapeId="0">
      <text>
        <r>
          <rPr>
            <sz val="10"/>
            <rFont val="Tahoma"/>
            <family val="2"/>
          </rPr>
          <t>SVP entrez comme ceci:
0: Non-endémique
1: Endémique
2: Pas de données</t>
        </r>
      </text>
    </comment>
    <comment ref="AM2" authorId="0" shapeId="0">
      <text>
        <r>
          <rPr>
            <sz val="10"/>
            <rFont val="Tahoma"/>
            <family val="2"/>
          </rPr>
          <t>SVP entrez comme ceci:
0: Non-endémique
1: Endémique
2: Pas de données</t>
        </r>
      </text>
    </comment>
    <comment ref="AT2" authorId="0" shapeId="0">
      <text>
        <r>
          <rPr>
            <sz val="10"/>
            <rFont val="Tahoma"/>
            <family val="2"/>
          </rPr>
          <t>SVP entrez comme ceci:
0: Non-endémique
1: Endémique
2: Pas de données</t>
        </r>
      </text>
    </comment>
    <comment ref="E3" authorId="0" shapeId="0">
      <text>
        <r>
          <rPr>
            <sz val="10"/>
            <rFont val="Tahoma"/>
            <family val="2"/>
          </rPr>
          <t>Please enter the number of MDA rounds conducted in the PREVIOUS YEAR.
0 = no MDA
1 = 1 round of MDA</t>
        </r>
        <r>
          <rPr>
            <b/>
            <sz val="8"/>
            <rFont val="Tahoma"/>
            <family val="2"/>
          </rPr>
          <t xml:space="preserve">
</t>
        </r>
      </text>
    </comment>
    <comment ref="F3" authorId="0" shapeId="0">
      <text>
        <r>
          <rPr>
            <sz val="10"/>
            <rFont val="Tahoma"/>
            <family val="2"/>
          </rPr>
          <t>Please enter the number of MDA rounds planned in each year.
0 = no MDA
1 = 1 round of MDA</t>
        </r>
        <r>
          <rPr>
            <b/>
            <sz val="8"/>
            <rFont val="Tahoma"/>
            <family val="2"/>
          </rPr>
          <t xml:space="preserve">
</t>
        </r>
      </text>
    </comment>
    <comment ref="G3" authorId="0" shapeId="0">
      <text>
        <r>
          <rPr>
            <sz val="10"/>
            <rFont val="Tahoma"/>
            <family val="2"/>
          </rPr>
          <t>Please enter the number of MDA rounds planned in each year.
0 = no MDA
1 = 1 round of MDA</t>
        </r>
        <r>
          <rPr>
            <b/>
            <sz val="8"/>
            <rFont val="Tahoma"/>
            <family val="2"/>
          </rPr>
          <t xml:space="preserve">
</t>
        </r>
      </text>
    </comment>
    <comment ref="H3" authorId="0" shapeId="0">
      <text>
        <r>
          <rPr>
            <sz val="10"/>
            <rFont val="Tahoma"/>
            <family val="2"/>
          </rPr>
          <t>Please enter the number of MDA rounds planned in each year.
0 = no MDA
1 = 1 round of MDA</t>
        </r>
        <r>
          <rPr>
            <b/>
            <sz val="8"/>
            <rFont val="Tahoma"/>
            <family val="2"/>
          </rPr>
          <t xml:space="preserve">
</t>
        </r>
      </text>
    </comment>
    <comment ref="I3" authorId="0" shapeId="0">
      <text>
        <r>
          <rPr>
            <sz val="10"/>
            <rFont val="Tahoma"/>
            <family val="2"/>
          </rPr>
          <t>Please enter the number of MDA rounds planned in each year.
0 = no MDA
1 = 1 round of MDA</t>
        </r>
        <r>
          <rPr>
            <b/>
            <sz val="8"/>
            <rFont val="Tahoma"/>
            <family val="2"/>
          </rPr>
          <t xml:space="preserve">
</t>
        </r>
      </text>
    </comment>
    <comment ref="J3" authorId="0" shapeId="0">
      <text>
        <r>
          <rPr>
            <sz val="10"/>
            <rFont val="Tahoma"/>
            <family val="2"/>
          </rPr>
          <t>Please enter the number of MDA rounds planned in each year.
0 = no MDA
1 = 1 round of MDA</t>
        </r>
        <r>
          <rPr>
            <b/>
            <sz val="8"/>
            <rFont val="Tahoma"/>
            <family val="2"/>
          </rPr>
          <t xml:space="preserve">
</t>
        </r>
      </text>
    </comment>
    <comment ref="L3" authorId="0" shapeId="0">
      <text>
        <r>
          <rPr>
            <sz val="10"/>
            <rFont val="Tahoma"/>
            <family val="2"/>
          </rPr>
          <t>Please enter the number of MDA rounds conducted in the PREVIOUS YEAR.
0 = no MDA
1 = 1 round of MDA</t>
        </r>
        <r>
          <rPr>
            <b/>
            <sz val="8"/>
            <rFont val="Tahoma"/>
            <family val="2"/>
          </rPr>
          <t xml:space="preserve">
</t>
        </r>
      </text>
    </comment>
    <comment ref="M3" authorId="0" shapeId="0">
      <text>
        <r>
          <rPr>
            <sz val="10"/>
            <rFont val="Tahoma"/>
            <family val="2"/>
          </rPr>
          <t>Please enter the number of MDA rounds planned in each year.
0 = no MDA
1 = 1 round of MDA</t>
        </r>
        <r>
          <rPr>
            <b/>
            <sz val="8"/>
            <rFont val="Tahoma"/>
            <family val="2"/>
          </rPr>
          <t xml:space="preserve">
</t>
        </r>
      </text>
    </comment>
    <comment ref="N3" authorId="0" shapeId="0">
      <text>
        <r>
          <rPr>
            <sz val="10"/>
            <rFont val="Tahoma"/>
            <family val="2"/>
          </rPr>
          <t>Please enter the number of MDA rounds planned in each year.
0 = no MDA
1 = 1 round of MDA</t>
        </r>
        <r>
          <rPr>
            <b/>
            <sz val="8"/>
            <rFont val="Tahoma"/>
            <family val="2"/>
          </rPr>
          <t xml:space="preserve">
</t>
        </r>
      </text>
    </comment>
    <comment ref="O3" authorId="0" shapeId="0">
      <text>
        <r>
          <rPr>
            <sz val="10"/>
            <rFont val="Tahoma"/>
            <family val="2"/>
          </rPr>
          <t>Please enter the number of MDA rounds planned in each year.
0 = no MDA
1 = 1 round of MDA</t>
        </r>
        <r>
          <rPr>
            <b/>
            <sz val="8"/>
            <rFont val="Tahoma"/>
            <family val="2"/>
          </rPr>
          <t xml:space="preserve">
</t>
        </r>
      </text>
    </comment>
    <comment ref="P3" authorId="0" shapeId="0">
      <text>
        <r>
          <rPr>
            <sz val="10"/>
            <rFont val="Tahoma"/>
            <family val="2"/>
          </rPr>
          <t>Please enter the number of MDA rounds planned in each year.
0 = no MDA
1 = 1 round of MDA</t>
        </r>
        <r>
          <rPr>
            <b/>
            <sz val="8"/>
            <rFont val="Tahoma"/>
            <family val="2"/>
          </rPr>
          <t xml:space="preserve">
</t>
        </r>
      </text>
    </comment>
    <comment ref="Q3" authorId="0" shapeId="0">
      <text>
        <r>
          <rPr>
            <sz val="10"/>
            <rFont val="Tahoma"/>
            <family val="2"/>
          </rPr>
          <t>Please enter the number of MDA rounds planned in each year.
0 = no MDA
1 = 1 round of MDA</t>
        </r>
        <r>
          <rPr>
            <b/>
            <sz val="8"/>
            <rFont val="Tahoma"/>
            <family val="2"/>
          </rPr>
          <t xml:space="preserve">
</t>
        </r>
      </text>
    </comment>
    <comment ref="S3" authorId="0" shapeId="0">
      <text>
        <r>
          <rPr>
            <sz val="10"/>
            <rFont val="Tahoma"/>
            <family val="2"/>
          </rPr>
          <t>Please enter the number of MDA rounds conducted in the PREVIOUS YEAR.
0 = no MDA
1 = 1 round of MDA</t>
        </r>
        <r>
          <rPr>
            <b/>
            <sz val="8"/>
            <rFont val="Tahoma"/>
            <family val="2"/>
          </rPr>
          <t xml:space="preserve">
</t>
        </r>
      </text>
    </comment>
    <comment ref="T3" authorId="0" shapeId="0">
      <text>
        <r>
          <rPr>
            <sz val="10"/>
            <rFont val="Tahoma"/>
            <family val="2"/>
          </rPr>
          <t>Please enter the number of MDA rounds planned in each year.
0 = no MDA
1 = 1 round of MDA</t>
        </r>
        <r>
          <rPr>
            <b/>
            <sz val="8"/>
            <rFont val="Tahoma"/>
            <family val="2"/>
          </rPr>
          <t xml:space="preserve">
</t>
        </r>
      </text>
    </comment>
    <comment ref="U3" authorId="0" shapeId="0">
      <text>
        <r>
          <rPr>
            <sz val="10"/>
            <rFont val="Tahoma"/>
            <family val="2"/>
          </rPr>
          <t>Please enter the number of MDA rounds planned in each year.
0 = no MDA
1 = 1 round of MDA</t>
        </r>
        <r>
          <rPr>
            <b/>
            <sz val="8"/>
            <rFont val="Tahoma"/>
            <family val="2"/>
          </rPr>
          <t xml:space="preserve">
</t>
        </r>
      </text>
    </comment>
    <comment ref="V3" authorId="0" shapeId="0">
      <text>
        <r>
          <rPr>
            <sz val="10"/>
            <rFont val="Tahoma"/>
            <family val="2"/>
          </rPr>
          <t>Please enter the number of MDA rounds planned in each year.
0 = no MDA
1 = 1 round of MDA</t>
        </r>
        <r>
          <rPr>
            <b/>
            <sz val="8"/>
            <rFont val="Tahoma"/>
            <family val="2"/>
          </rPr>
          <t xml:space="preserve">
</t>
        </r>
      </text>
    </comment>
    <comment ref="W3" authorId="0" shapeId="0">
      <text>
        <r>
          <rPr>
            <sz val="10"/>
            <rFont val="Tahoma"/>
            <family val="2"/>
          </rPr>
          <t>Please enter the number of MDA rounds planned in each year.
0 = no MDA
1 = 1 round of MDA</t>
        </r>
        <r>
          <rPr>
            <b/>
            <sz val="8"/>
            <rFont val="Tahoma"/>
            <family val="2"/>
          </rPr>
          <t xml:space="preserve">
</t>
        </r>
      </text>
    </comment>
    <comment ref="X3" authorId="0" shapeId="0">
      <text>
        <r>
          <rPr>
            <sz val="10"/>
            <rFont val="Tahoma"/>
            <family val="2"/>
          </rPr>
          <t>Please enter the number of MDA rounds planned in each year.
0 = no MDA
1 = 1 round of MDA</t>
        </r>
        <r>
          <rPr>
            <b/>
            <sz val="8"/>
            <rFont val="Tahoma"/>
            <family val="2"/>
          </rPr>
          <t xml:space="preserve">
</t>
        </r>
      </text>
    </comment>
    <comment ref="Z3" authorId="0" shapeId="0">
      <text>
        <r>
          <rPr>
            <sz val="10"/>
            <rFont val="Tahoma"/>
            <family val="2"/>
          </rPr>
          <t>Please enter the number of MDA rounds conducted in the PREVIOUS YEAR.
0 = no MDA
1 = 1 round of MDA</t>
        </r>
        <r>
          <rPr>
            <b/>
            <sz val="8"/>
            <rFont val="Tahoma"/>
            <family val="2"/>
          </rPr>
          <t xml:space="preserve">
</t>
        </r>
      </text>
    </comment>
    <comment ref="AA3" authorId="0" shapeId="0">
      <text>
        <r>
          <rPr>
            <sz val="10"/>
            <rFont val="Tahoma"/>
            <family val="2"/>
          </rPr>
          <t>Please enter the number of MDA rounds planned in each year.
0 = no MDA
1 = 1 round of MDA</t>
        </r>
        <r>
          <rPr>
            <b/>
            <sz val="8"/>
            <rFont val="Tahoma"/>
            <family val="2"/>
          </rPr>
          <t xml:space="preserve">
</t>
        </r>
      </text>
    </comment>
    <comment ref="AB3" authorId="0" shapeId="0">
      <text>
        <r>
          <rPr>
            <sz val="10"/>
            <rFont val="Tahoma"/>
            <family val="2"/>
          </rPr>
          <t>Please enter the number of MDA rounds planned in each year.
0 = no MDA
1 = 1 round of MDA</t>
        </r>
        <r>
          <rPr>
            <b/>
            <sz val="8"/>
            <rFont val="Tahoma"/>
            <family val="2"/>
          </rPr>
          <t xml:space="preserve">
</t>
        </r>
      </text>
    </comment>
    <comment ref="AC3" authorId="0" shapeId="0">
      <text>
        <r>
          <rPr>
            <sz val="10"/>
            <rFont val="Tahoma"/>
            <family val="2"/>
          </rPr>
          <t>Please enter the number of MDA rounds planned in each year.
0 = no MDA
1 = 1 round of MDA</t>
        </r>
        <r>
          <rPr>
            <b/>
            <sz val="8"/>
            <rFont val="Tahoma"/>
            <family val="2"/>
          </rPr>
          <t xml:space="preserve">
</t>
        </r>
      </text>
    </comment>
    <comment ref="AD3" authorId="0" shapeId="0">
      <text>
        <r>
          <rPr>
            <sz val="10"/>
            <rFont val="Tahoma"/>
            <family val="2"/>
          </rPr>
          <t>Please enter the number of MDA rounds planned in each year.
0 = no MDA
1 = 1 round of MDA</t>
        </r>
        <r>
          <rPr>
            <b/>
            <sz val="8"/>
            <rFont val="Tahoma"/>
            <family val="2"/>
          </rPr>
          <t xml:space="preserve">
</t>
        </r>
      </text>
    </comment>
    <comment ref="AE3" authorId="0" shapeId="0">
      <text>
        <r>
          <rPr>
            <sz val="10"/>
            <rFont val="Tahoma"/>
            <family val="2"/>
          </rPr>
          <t>Please enter the number of MDA rounds planned in each year.
0 = no MDA
1 = 1 round of MDA</t>
        </r>
        <r>
          <rPr>
            <b/>
            <sz val="8"/>
            <rFont val="Tahoma"/>
            <family val="2"/>
          </rPr>
          <t xml:space="preserve">
</t>
        </r>
      </text>
    </comment>
    <comment ref="AG3" authorId="0" shapeId="0">
      <text>
        <r>
          <rPr>
            <sz val="10"/>
            <rFont val="Tahoma"/>
            <family val="2"/>
          </rPr>
          <t>Please enter the number of MDA rounds conducted in the PREVIOUS YEAR.
0 = no MDA
1 = 1 round of MDA</t>
        </r>
        <r>
          <rPr>
            <b/>
            <sz val="8"/>
            <rFont val="Tahoma"/>
            <family val="2"/>
          </rPr>
          <t xml:space="preserve">
</t>
        </r>
      </text>
    </comment>
    <comment ref="AH3" authorId="0" shapeId="0">
      <text>
        <r>
          <rPr>
            <sz val="10"/>
            <rFont val="Tahoma"/>
            <family val="2"/>
          </rPr>
          <t>Please enter the number of MDA rounds planned in each year.
0 = no MDA
1 = 1 round of MDA</t>
        </r>
        <r>
          <rPr>
            <b/>
            <sz val="8"/>
            <rFont val="Tahoma"/>
            <family val="2"/>
          </rPr>
          <t xml:space="preserve">
</t>
        </r>
      </text>
    </comment>
    <comment ref="AI3" authorId="0" shapeId="0">
      <text>
        <r>
          <rPr>
            <sz val="10"/>
            <rFont val="Tahoma"/>
            <family val="2"/>
          </rPr>
          <t>Please enter the number of MDA rounds planned in each year.
0 = no MDA
1 = 1 round of MDA</t>
        </r>
        <r>
          <rPr>
            <b/>
            <sz val="8"/>
            <rFont val="Tahoma"/>
            <family val="2"/>
          </rPr>
          <t xml:space="preserve">
</t>
        </r>
      </text>
    </comment>
    <comment ref="AJ3" authorId="0" shapeId="0">
      <text>
        <r>
          <rPr>
            <sz val="10"/>
            <rFont val="Tahoma"/>
            <family val="2"/>
          </rPr>
          <t>Please enter the number of MDA rounds planned in each year.
0 = no MDA
1 = 1 round of MDA</t>
        </r>
        <r>
          <rPr>
            <b/>
            <sz val="8"/>
            <rFont val="Tahoma"/>
            <family val="2"/>
          </rPr>
          <t xml:space="preserve">
</t>
        </r>
      </text>
    </comment>
    <comment ref="AK3" authorId="0" shapeId="0">
      <text>
        <r>
          <rPr>
            <sz val="10"/>
            <rFont val="Tahoma"/>
            <family val="2"/>
          </rPr>
          <t>Please enter the number of MDA rounds planned in each year.
0 = no MDA
1 = 1 round of MDA</t>
        </r>
        <r>
          <rPr>
            <b/>
            <sz val="8"/>
            <rFont val="Tahoma"/>
            <family val="2"/>
          </rPr>
          <t xml:space="preserve">
</t>
        </r>
      </text>
    </comment>
    <comment ref="AL3" authorId="0" shapeId="0">
      <text>
        <r>
          <rPr>
            <sz val="10"/>
            <rFont val="Tahoma"/>
            <family val="2"/>
          </rPr>
          <t>Please enter the number of MDA rounds planned in each year.
0 = no MDA
1 = 1 round of MDA</t>
        </r>
        <r>
          <rPr>
            <b/>
            <sz val="8"/>
            <rFont val="Tahoma"/>
            <family val="2"/>
          </rPr>
          <t xml:space="preserve">
</t>
        </r>
      </text>
    </comment>
    <comment ref="AN3" authorId="0" shapeId="0">
      <text>
        <r>
          <rPr>
            <sz val="10"/>
            <rFont val="Tahoma"/>
            <family val="2"/>
          </rPr>
          <t>Please enter the number of MDA rounds conducted in the PREVIOUS YEAR.
0 = no MDA
1 = 1 round of MDA</t>
        </r>
        <r>
          <rPr>
            <b/>
            <sz val="8"/>
            <rFont val="Tahoma"/>
            <family val="2"/>
          </rPr>
          <t xml:space="preserve">
</t>
        </r>
      </text>
    </comment>
    <comment ref="AO3" authorId="0" shapeId="0">
      <text>
        <r>
          <rPr>
            <sz val="10"/>
            <rFont val="Tahoma"/>
            <family val="2"/>
          </rPr>
          <t>Please enter the number of MDA rounds planned in each year.
0 = no MDA
1 = 1 round of MDA</t>
        </r>
        <r>
          <rPr>
            <b/>
            <sz val="8"/>
            <rFont val="Tahoma"/>
            <family val="2"/>
          </rPr>
          <t xml:space="preserve">
</t>
        </r>
      </text>
    </comment>
    <comment ref="AP3" authorId="0" shapeId="0">
      <text>
        <r>
          <rPr>
            <sz val="10"/>
            <rFont val="Tahoma"/>
            <family val="2"/>
          </rPr>
          <t>Please enter the number of MDA rounds planned in each year.
0 = no MDA
1 = 1 round of MDA</t>
        </r>
        <r>
          <rPr>
            <b/>
            <sz val="8"/>
            <rFont val="Tahoma"/>
            <family val="2"/>
          </rPr>
          <t xml:space="preserve">
</t>
        </r>
      </text>
    </comment>
    <comment ref="AQ3" authorId="0" shapeId="0">
      <text>
        <r>
          <rPr>
            <sz val="10"/>
            <rFont val="Tahoma"/>
            <family val="2"/>
          </rPr>
          <t>Please enter the number of MDA rounds planned in each year.
0 = no MDA
1 = 1 round of MDA</t>
        </r>
        <r>
          <rPr>
            <b/>
            <sz val="8"/>
            <rFont val="Tahoma"/>
            <family val="2"/>
          </rPr>
          <t xml:space="preserve">
</t>
        </r>
      </text>
    </comment>
    <comment ref="AR3" authorId="0" shapeId="0">
      <text>
        <r>
          <rPr>
            <sz val="10"/>
            <rFont val="Tahoma"/>
            <family val="2"/>
          </rPr>
          <t>Please enter the number of MDA rounds planned in each year.
0 = no MDA
1 = 1 round of MDA</t>
        </r>
        <r>
          <rPr>
            <b/>
            <sz val="8"/>
            <rFont val="Tahoma"/>
            <family val="2"/>
          </rPr>
          <t xml:space="preserve">
</t>
        </r>
      </text>
    </comment>
    <comment ref="AS3" authorId="0" shapeId="0">
      <text>
        <r>
          <rPr>
            <sz val="10"/>
            <rFont val="Tahoma"/>
            <family val="2"/>
          </rPr>
          <t>Please enter the number of MDA rounds planned in each year.
0 = no MDA
1 = 1 round of MDA</t>
        </r>
        <r>
          <rPr>
            <b/>
            <sz val="8"/>
            <rFont val="Tahoma"/>
            <family val="2"/>
          </rPr>
          <t xml:space="preserve">
</t>
        </r>
      </text>
    </comment>
    <comment ref="AU3" authorId="0" shapeId="0">
      <text>
        <r>
          <rPr>
            <sz val="10"/>
            <rFont val="Tahoma"/>
            <family val="2"/>
          </rPr>
          <t>Please enter the number of MDA rounds conducted in the PREVIOUS YEAR.
0 = no MDA
1 = 1 round of MDA</t>
        </r>
        <r>
          <rPr>
            <b/>
            <sz val="8"/>
            <rFont val="Tahoma"/>
            <family val="2"/>
          </rPr>
          <t xml:space="preserve">
</t>
        </r>
      </text>
    </comment>
    <comment ref="AV3" authorId="0" shapeId="0">
      <text>
        <r>
          <rPr>
            <sz val="10"/>
            <rFont val="Tahoma"/>
            <family val="2"/>
          </rPr>
          <t>Please enter the number of MDA rounds planned in each year.
0 = no MDA
1 = 1 round of MDA</t>
        </r>
        <r>
          <rPr>
            <b/>
            <sz val="8"/>
            <rFont val="Tahoma"/>
            <family val="2"/>
          </rPr>
          <t xml:space="preserve">
</t>
        </r>
      </text>
    </comment>
    <comment ref="AW3" authorId="0" shapeId="0">
      <text>
        <r>
          <rPr>
            <sz val="10"/>
            <rFont val="Tahoma"/>
            <family val="2"/>
          </rPr>
          <t>Please enter the number of MDA rounds planned in each year.
0 = no MDA
1 = 1 round of MDA</t>
        </r>
        <r>
          <rPr>
            <b/>
            <sz val="8"/>
            <rFont val="Tahoma"/>
            <family val="2"/>
          </rPr>
          <t xml:space="preserve">
</t>
        </r>
      </text>
    </comment>
    <comment ref="AX3" authorId="0" shapeId="0">
      <text>
        <r>
          <rPr>
            <sz val="10"/>
            <rFont val="Tahoma"/>
            <family val="2"/>
          </rPr>
          <t>Please enter the number of MDA rounds planned in each year.
0 = no MDA
1 = 1 round of MDA</t>
        </r>
        <r>
          <rPr>
            <b/>
            <sz val="8"/>
            <rFont val="Tahoma"/>
            <family val="2"/>
          </rPr>
          <t xml:space="preserve">
</t>
        </r>
      </text>
    </comment>
    <comment ref="AY3" authorId="0" shapeId="0">
      <text>
        <r>
          <rPr>
            <sz val="10"/>
            <rFont val="Tahoma"/>
            <family val="2"/>
          </rPr>
          <t>Please enter the number of MDA rounds planned in each year.
0 = no MDA
1 = 1 round of MDA</t>
        </r>
        <r>
          <rPr>
            <b/>
            <sz val="8"/>
            <rFont val="Tahoma"/>
            <family val="2"/>
          </rPr>
          <t xml:space="preserve">
</t>
        </r>
      </text>
    </comment>
    <comment ref="AZ3" authorId="0" shapeId="0">
      <text>
        <r>
          <rPr>
            <sz val="10"/>
            <rFont val="Tahoma"/>
            <family val="2"/>
          </rPr>
          <t>Please enter the number of MDA rounds planned in each year.
0 = no MDA
1 = 1 round of MDA</t>
        </r>
        <r>
          <rPr>
            <b/>
            <sz val="8"/>
            <rFont val="Tahoma"/>
            <family val="2"/>
          </rPr>
          <t xml:space="preserve">
</t>
        </r>
      </text>
    </comment>
  </commentList>
</comments>
</file>

<file path=xl/comments2.xml><?xml version="1.0" encoding="utf-8"?>
<comments xmlns="http://schemas.openxmlformats.org/spreadsheetml/2006/main">
  <authors>
    <author>Abdoul A.. Diallo</author>
    <author>Dr Andre GOEPOGUI</author>
    <author>nounkey</author>
    <author>moise kagbadouno</author>
    <author>Dell</author>
  </authors>
  <commentList>
    <comment ref="I4" authorId="0" shapeId="0">
      <text>
        <r>
          <rPr>
            <b/>
            <sz val="9"/>
            <color indexed="81"/>
            <rFont val="Tahoma"/>
            <family val="2"/>
          </rPr>
          <t>Abdoul A.. Diallo:</t>
        </r>
        <r>
          <rPr>
            <sz val="9"/>
            <color indexed="81"/>
            <rFont val="Tahoma"/>
            <family val="2"/>
          </rPr>
          <t xml:space="preserve">
Frais de transit: 7000000</t>
        </r>
      </text>
    </comment>
    <comment ref="O4" authorId="0" shapeId="0">
      <text>
        <r>
          <rPr>
            <b/>
            <sz val="9"/>
            <color indexed="81"/>
            <rFont val="Tahoma"/>
            <family val="2"/>
          </rPr>
          <t>Abdoul A.. Diallo:</t>
        </r>
        <r>
          <rPr>
            <sz val="9"/>
            <color indexed="81"/>
            <rFont val="Tahoma"/>
            <family val="2"/>
          </rPr>
          <t xml:space="preserve">
Frais de transit: 7000000</t>
        </r>
      </text>
    </comment>
    <comment ref="U4" authorId="0" shapeId="0">
      <text>
        <r>
          <rPr>
            <b/>
            <sz val="9"/>
            <color indexed="81"/>
            <rFont val="Tahoma"/>
            <family val="2"/>
          </rPr>
          <t>Abdoul A.. Diallo:</t>
        </r>
        <r>
          <rPr>
            <sz val="9"/>
            <color indexed="81"/>
            <rFont val="Tahoma"/>
            <family val="2"/>
          </rPr>
          <t xml:space="preserve">
Frais de transit: 7000000</t>
        </r>
      </text>
    </comment>
    <comment ref="AA4" authorId="0" shapeId="0">
      <text>
        <r>
          <rPr>
            <b/>
            <sz val="9"/>
            <color indexed="81"/>
            <rFont val="Tahoma"/>
            <family val="2"/>
          </rPr>
          <t>Abdoul A.. Diallo:</t>
        </r>
        <r>
          <rPr>
            <sz val="9"/>
            <color indexed="81"/>
            <rFont val="Tahoma"/>
            <family val="2"/>
          </rPr>
          <t xml:space="preserve">
Frais de transit: 7000000</t>
        </r>
      </text>
    </comment>
    <comment ref="AG4" authorId="0" shapeId="0">
      <text>
        <r>
          <rPr>
            <b/>
            <sz val="9"/>
            <color indexed="81"/>
            <rFont val="Tahoma"/>
            <family val="2"/>
          </rPr>
          <t>Abdoul A.. Diallo:</t>
        </r>
        <r>
          <rPr>
            <sz val="9"/>
            <color indexed="81"/>
            <rFont val="Tahoma"/>
            <family val="2"/>
          </rPr>
          <t xml:space="preserve">
Frais de transit: 7000000</t>
        </r>
      </text>
    </comment>
    <comment ref="I5" authorId="0" shapeId="0">
      <text>
        <r>
          <rPr>
            <b/>
            <sz val="9"/>
            <color indexed="81"/>
            <rFont val="Tahoma"/>
            <family val="2"/>
          </rPr>
          <t>Abdoul A.. Diallo:</t>
        </r>
        <r>
          <rPr>
            <sz val="9"/>
            <color indexed="81"/>
            <rFont val="Tahoma"/>
            <family val="2"/>
          </rPr>
          <t xml:space="preserve">
Location magasin PCG: </t>
        </r>
        <r>
          <rPr>
            <sz val="8"/>
            <color indexed="81"/>
            <rFont val="Tahoma"/>
            <family val="2"/>
          </rPr>
          <t>5000000/MOIS
Location camions PCG/DS:6474000x33
Total annuel: 273642000</t>
        </r>
      </text>
    </comment>
    <comment ref="O5" authorId="0" shapeId="0">
      <text>
        <r>
          <rPr>
            <b/>
            <sz val="9"/>
            <color indexed="81"/>
            <rFont val="Tahoma"/>
            <family val="2"/>
          </rPr>
          <t>Abdoul A.. Diallo:</t>
        </r>
        <r>
          <rPr>
            <sz val="9"/>
            <color indexed="81"/>
            <rFont val="Tahoma"/>
            <family val="2"/>
          </rPr>
          <t xml:space="preserve">
Location magasin PCG: </t>
        </r>
        <r>
          <rPr>
            <sz val="8"/>
            <color indexed="81"/>
            <rFont val="Tahoma"/>
            <family val="2"/>
          </rPr>
          <t>5000000/MOIS
Location camions PCG/DS:6474000x33
Total annuel: 273642000</t>
        </r>
      </text>
    </comment>
    <comment ref="U5" authorId="0" shapeId="0">
      <text>
        <r>
          <rPr>
            <b/>
            <sz val="9"/>
            <color indexed="81"/>
            <rFont val="Tahoma"/>
            <family val="2"/>
          </rPr>
          <t>Abdoul A.. Diallo:</t>
        </r>
        <r>
          <rPr>
            <sz val="9"/>
            <color indexed="81"/>
            <rFont val="Tahoma"/>
            <family val="2"/>
          </rPr>
          <t xml:space="preserve">
Location magasin PCG: </t>
        </r>
        <r>
          <rPr>
            <sz val="8"/>
            <color indexed="81"/>
            <rFont val="Tahoma"/>
            <family val="2"/>
          </rPr>
          <t>5000000/MOIS
Location camions PCG/DS:6474000x33
Total annuel: 273642000</t>
        </r>
      </text>
    </comment>
    <comment ref="AA5" authorId="0" shapeId="0">
      <text>
        <r>
          <rPr>
            <b/>
            <sz val="9"/>
            <color indexed="81"/>
            <rFont val="Tahoma"/>
            <family val="2"/>
          </rPr>
          <t>Abdoul A.. Diallo:</t>
        </r>
        <r>
          <rPr>
            <sz val="9"/>
            <color indexed="81"/>
            <rFont val="Tahoma"/>
            <family val="2"/>
          </rPr>
          <t xml:space="preserve">
Location magasin PCG: </t>
        </r>
        <r>
          <rPr>
            <sz val="8"/>
            <color indexed="81"/>
            <rFont val="Tahoma"/>
            <family val="2"/>
          </rPr>
          <t>5000000/MOIS
Location camions PCG/DS:6474000x33
Total annuel: 273642000</t>
        </r>
      </text>
    </comment>
    <comment ref="AG5" authorId="0" shapeId="0">
      <text>
        <r>
          <rPr>
            <b/>
            <sz val="9"/>
            <color indexed="81"/>
            <rFont val="Tahoma"/>
            <family val="2"/>
          </rPr>
          <t>Abdoul A.. Diallo:</t>
        </r>
        <r>
          <rPr>
            <sz val="9"/>
            <color indexed="81"/>
            <rFont val="Tahoma"/>
            <family val="2"/>
          </rPr>
          <t xml:space="preserve">
Location magasin PCG: </t>
        </r>
        <r>
          <rPr>
            <sz val="8"/>
            <color indexed="81"/>
            <rFont val="Tahoma"/>
            <family val="2"/>
          </rPr>
          <t>5000000/MOIS
Location camions PCG/DS:6474000x33
Total annuel: 273642000</t>
        </r>
      </text>
    </comment>
    <comment ref="I7" authorId="1" shapeId="0">
      <text>
        <r>
          <rPr>
            <b/>
            <sz val="9"/>
            <color indexed="81"/>
            <rFont val="Tahoma"/>
            <charset val="1"/>
          </rPr>
          <t>Dr Andre GOEPOGUI:</t>
        </r>
        <r>
          <rPr>
            <sz val="9"/>
            <color indexed="81"/>
            <rFont val="Tahoma"/>
            <charset val="1"/>
          </rPr>
          <t xml:space="preserve">
16 à former à Faranah par 4 formateurs pendant 7 jours</t>
        </r>
      </text>
    </comment>
    <comment ref="O7" authorId="1" shapeId="0">
      <text>
        <r>
          <rPr>
            <b/>
            <sz val="9"/>
            <color indexed="81"/>
            <rFont val="Tahoma"/>
            <charset val="1"/>
          </rPr>
          <t>Dr Andre GOEPOGUI:</t>
        </r>
        <r>
          <rPr>
            <sz val="9"/>
            <color indexed="81"/>
            <rFont val="Tahoma"/>
            <charset val="1"/>
          </rPr>
          <t xml:space="preserve">
16 à former à Faranah par 4 formateurs pendant 7 jours</t>
        </r>
      </text>
    </comment>
    <comment ref="U7" authorId="1" shapeId="0">
      <text>
        <r>
          <rPr>
            <b/>
            <sz val="9"/>
            <color indexed="81"/>
            <rFont val="Tahoma"/>
            <charset val="1"/>
          </rPr>
          <t>Dr Andre GOEPOGUI:</t>
        </r>
        <r>
          <rPr>
            <sz val="9"/>
            <color indexed="81"/>
            <rFont val="Tahoma"/>
            <charset val="1"/>
          </rPr>
          <t xml:space="preserve">
16 à former à Faranah par 4 formateurs pendant 7 jours</t>
        </r>
      </text>
    </comment>
    <comment ref="AA7" authorId="1" shapeId="0">
      <text>
        <r>
          <rPr>
            <b/>
            <sz val="9"/>
            <color indexed="81"/>
            <rFont val="Tahoma"/>
            <charset val="1"/>
          </rPr>
          <t>Dr Andre GOEPOGUI:</t>
        </r>
        <r>
          <rPr>
            <sz val="9"/>
            <color indexed="81"/>
            <rFont val="Tahoma"/>
            <charset val="1"/>
          </rPr>
          <t xml:space="preserve">
16 à former à Faranah par 4 formateurs pendant 7 jours</t>
        </r>
      </text>
    </comment>
    <comment ref="AG7" authorId="1" shapeId="0">
      <text>
        <r>
          <rPr>
            <b/>
            <sz val="9"/>
            <color indexed="81"/>
            <rFont val="Tahoma"/>
            <charset val="1"/>
          </rPr>
          <t>Dr Andre GOEPOGUI:</t>
        </r>
        <r>
          <rPr>
            <sz val="9"/>
            <color indexed="81"/>
            <rFont val="Tahoma"/>
            <charset val="1"/>
          </rPr>
          <t xml:space="preserve">
16 à former à Faranah par 4 formateurs pendant 7 jours</t>
        </r>
      </text>
    </comment>
    <comment ref="I9" authorId="0" shapeId="0">
      <text>
        <r>
          <rPr>
            <b/>
            <sz val="9"/>
            <color indexed="81"/>
            <rFont val="Tahoma"/>
            <family val="2"/>
          </rPr>
          <t>Abdoul A.. Diallo:</t>
        </r>
        <r>
          <rPr>
            <sz val="9"/>
            <color indexed="81"/>
            <rFont val="Tahoma"/>
            <family val="2"/>
          </rPr>
          <t xml:space="preserve">
Perdiem: 32 Participants: 420000 Formateurs:  2 Chauffeurs: 10 
Transport par jour: 500000/4=125000
Carburant: 250l/Vehiculex10X10000=25000000/4=6250000 
Fourniture de bureau: 25 000/Pers/4=6250
Location salle :1 000 000/47= 21276
TOTAL: 1197526</t>
        </r>
      </text>
    </comment>
    <comment ref="O9" authorId="0" shapeId="0">
      <text>
        <r>
          <rPr>
            <b/>
            <sz val="9"/>
            <color indexed="81"/>
            <rFont val="Tahoma"/>
            <family val="2"/>
          </rPr>
          <t>Abdoul A.. Diallo:</t>
        </r>
        <r>
          <rPr>
            <sz val="9"/>
            <color indexed="81"/>
            <rFont val="Tahoma"/>
            <family val="2"/>
          </rPr>
          <t xml:space="preserve">
Perdiem: 32 Participants: 420000 Formateurs:  2 Chauffeurs: 10 
Transport par jour: 500000/4=125000
Carburant: 250l/Vehiculex10X10000=25000000/4=6250000 
Fourniture de bureau: 25 000/Pers/4=6250
Location salle :1 000 000/47= 21276
TOTAL: 1197526</t>
        </r>
      </text>
    </comment>
    <comment ref="U9" authorId="0" shapeId="0">
      <text>
        <r>
          <rPr>
            <b/>
            <sz val="9"/>
            <color indexed="81"/>
            <rFont val="Tahoma"/>
            <family val="2"/>
          </rPr>
          <t>Abdoul A.. Diallo:</t>
        </r>
        <r>
          <rPr>
            <sz val="9"/>
            <color indexed="81"/>
            <rFont val="Tahoma"/>
            <family val="2"/>
          </rPr>
          <t xml:space="preserve">
Perdiem: 32 Participants: 420000 Formateurs:  2 Chauffeurs: 10 
Transport par jour: 500000/4=125000
Carburant: 250l/Vehiculex10X10000=25000000/4=6250000 
Fourniture de bureau: 25 000/Pers/4=6250
Location salle :1 000 000/47= 21276
TOTAL: 1197526</t>
        </r>
      </text>
    </comment>
    <comment ref="AA9" authorId="0" shapeId="0">
      <text>
        <r>
          <rPr>
            <b/>
            <sz val="9"/>
            <color indexed="81"/>
            <rFont val="Tahoma"/>
            <family val="2"/>
          </rPr>
          <t>Abdoul A.. Diallo:</t>
        </r>
        <r>
          <rPr>
            <sz val="9"/>
            <color indexed="81"/>
            <rFont val="Tahoma"/>
            <family val="2"/>
          </rPr>
          <t xml:space="preserve">
Perdiem: 32 Participants: 420000 Formateurs:  2 Chauffeurs: 10 
Transport par jour: 500000/4=125000
Carburant: 250l/Vehiculex10X10000=25000000/4=6250000 
Fourniture de bureau: 25 000/Pers/4=6250
Location salle :1 000 000/47= 21276
TOTAL: 1197526</t>
        </r>
      </text>
    </comment>
    <comment ref="AG9" authorId="0" shapeId="0">
      <text>
        <r>
          <rPr>
            <b/>
            <sz val="9"/>
            <color indexed="81"/>
            <rFont val="Tahoma"/>
            <family val="2"/>
          </rPr>
          <t>Abdoul A.. Diallo:</t>
        </r>
        <r>
          <rPr>
            <sz val="9"/>
            <color indexed="81"/>
            <rFont val="Tahoma"/>
            <family val="2"/>
          </rPr>
          <t xml:space="preserve">
Perdiem: 32 Participants: 420000 Formateurs:  2 Chauffeurs: 10 
Transport par jour: 500000/4=125000
Carburant: 250l/Vehiculex10X10000=25000000/4=6250000 
Fourniture de bureau: 25 000/Pers/4=6250
Location salle :1 000 000/47= 21276
TOTAL: 1197526</t>
        </r>
      </text>
    </comment>
    <comment ref="I10" authorId="0" shapeId="0">
      <text>
        <r>
          <rPr>
            <b/>
            <sz val="9"/>
            <color indexed="81"/>
            <rFont val="Tahoma"/>
            <family val="2"/>
          </rPr>
          <t>Abdoul A.. Diallo:</t>
        </r>
        <r>
          <rPr>
            <sz val="9"/>
            <color indexed="81"/>
            <rFont val="Tahoma"/>
            <family val="2"/>
          </rPr>
          <t xml:space="preserve">
Perdiem: 96 Participants: 420000 Formateurs:  16 ET  Chauffeurs: 33
Carburant: 65l/Vehiculex33X10000=21450000/2=10725000 
Fourniture de bureau: 25 000/Pers/2=12500
Location salle :1 000 000/145= 6897
TOTAL: 11 164 397</t>
        </r>
      </text>
    </comment>
    <comment ref="O10" authorId="0" shapeId="0">
      <text>
        <r>
          <rPr>
            <b/>
            <sz val="9"/>
            <color indexed="81"/>
            <rFont val="Tahoma"/>
            <family val="2"/>
          </rPr>
          <t>Abdoul A.. Diallo:</t>
        </r>
        <r>
          <rPr>
            <sz val="9"/>
            <color indexed="81"/>
            <rFont val="Tahoma"/>
            <family val="2"/>
          </rPr>
          <t xml:space="preserve">
Perdiem: 96 Participants: 420000 Formateurs:  16 ET  Chauffeurs: 33
Carburant: 65l/Vehiculex33X10000=21450000/2=10725000 
Fourniture de bureau: 25 000/Pers/2=12500
Location salle :1 000 000/145= 6897
TOTAL: 11 164 397</t>
        </r>
      </text>
    </comment>
    <comment ref="U10" authorId="0" shapeId="0">
      <text>
        <r>
          <rPr>
            <b/>
            <sz val="9"/>
            <color indexed="81"/>
            <rFont val="Tahoma"/>
            <family val="2"/>
          </rPr>
          <t>Abdoul A.. Diallo:</t>
        </r>
        <r>
          <rPr>
            <sz val="9"/>
            <color indexed="81"/>
            <rFont val="Tahoma"/>
            <family val="2"/>
          </rPr>
          <t xml:space="preserve">
Perdiem: 96 Participants: 420000 Formateurs:  16 ET  Chauffeurs: 33
Carburant: 65l/Vehiculex33X10000=21450000/2=10725000 
Fourniture de bureau: 25 000/Pers/2=12500
Location salle :1 000 000/145= 6897
TOTAL: 11 164 397</t>
        </r>
      </text>
    </comment>
    <comment ref="AA10" authorId="0" shapeId="0">
      <text>
        <r>
          <rPr>
            <b/>
            <sz val="9"/>
            <color indexed="81"/>
            <rFont val="Tahoma"/>
            <family val="2"/>
          </rPr>
          <t>Abdoul A.. Diallo:</t>
        </r>
        <r>
          <rPr>
            <sz val="9"/>
            <color indexed="81"/>
            <rFont val="Tahoma"/>
            <family val="2"/>
          </rPr>
          <t xml:space="preserve">
Perdiem: 96 Participants: 420000 Formateurs:  16 ET  Chauffeurs: 33
Carburant: 65l/Vehiculex33X10000=21450000/2=10725000 
Fourniture de bureau: 25 000/Pers/2=12500
Location salle :1 000 000/145= 6897
TOTAL: 11 164 397</t>
        </r>
      </text>
    </comment>
    <comment ref="AG10" authorId="0" shapeId="0">
      <text>
        <r>
          <rPr>
            <b/>
            <sz val="9"/>
            <color indexed="81"/>
            <rFont val="Tahoma"/>
            <family val="2"/>
          </rPr>
          <t>Abdoul A.. Diallo:</t>
        </r>
        <r>
          <rPr>
            <sz val="9"/>
            <color indexed="81"/>
            <rFont val="Tahoma"/>
            <family val="2"/>
          </rPr>
          <t xml:space="preserve">
Perdiem: 96 Participants: 420000 Formateurs:  16 ET  Chauffeurs: 33
Carburant: 65l/Vehiculex33X10000=21450000/2=10725000 
Fourniture de bureau: 25 000/Pers/2=12500
Location salle :1 000 000/145= 6897
TOTAL: 11 164 397</t>
        </r>
      </text>
    </comment>
    <comment ref="I11" authorId="0" shapeId="0">
      <text>
        <r>
          <rPr>
            <b/>
            <sz val="9"/>
            <color indexed="81"/>
            <rFont val="Tahoma"/>
            <family val="2"/>
          </rPr>
          <t>Abdoul A.. Diallo:</t>
        </r>
        <r>
          <rPr>
            <sz val="9"/>
            <color indexed="81"/>
            <rFont val="Tahoma"/>
            <family val="2"/>
          </rPr>
          <t xml:space="preserve">
Perdiem: 824 Participants: 100000 + Formateurs:  66 
Transport par jour: 200000/2=100000
Fourniture de bureau: 25 000/Pers/2=12500
Location salle :1 000 000/900= 1111
TOTAL: 213611</t>
        </r>
      </text>
    </comment>
    <comment ref="O11" authorId="0" shapeId="0">
      <text>
        <r>
          <rPr>
            <b/>
            <sz val="9"/>
            <color indexed="81"/>
            <rFont val="Tahoma"/>
            <family val="2"/>
          </rPr>
          <t>Abdoul A.. Diallo:</t>
        </r>
        <r>
          <rPr>
            <sz val="9"/>
            <color indexed="81"/>
            <rFont val="Tahoma"/>
            <family val="2"/>
          </rPr>
          <t xml:space="preserve">
Perdiem: 824 Participants: 100000 + Formateurs:  66 
Transport par jour: 200000/2=100000
Fourniture de bureau: 25 000/Pers/2=12500
Location salle :1 000 000/900= 1111
TOTAL: 213611</t>
        </r>
      </text>
    </comment>
    <comment ref="U11" authorId="0" shapeId="0">
      <text>
        <r>
          <rPr>
            <b/>
            <sz val="9"/>
            <color indexed="81"/>
            <rFont val="Tahoma"/>
            <family val="2"/>
          </rPr>
          <t>Abdoul A.. Diallo:</t>
        </r>
        <r>
          <rPr>
            <sz val="9"/>
            <color indexed="81"/>
            <rFont val="Tahoma"/>
            <family val="2"/>
          </rPr>
          <t xml:space="preserve">
Perdiem: 824 Participants: 100000 + Formateurs:  66 
Transport par jour: 200000/2=100000
Fourniture de bureau: 25 000/Pers/2=12500
Location salle :1 000 000/900= 1111
TOTAL: 213611</t>
        </r>
      </text>
    </comment>
    <comment ref="AA11" authorId="0" shapeId="0">
      <text>
        <r>
          <rPr>
            <b/>
            <sz val="9"/>
            <color indexed="81"/>
            <rFont val="Tahoma"/>
            <family val="2"/>
          </rPr>
          <t>Abdoul A.. Diallo:</t>
        </r>
        <r>
          <rPr>
            <sz val="9"/>
            <color indexed="81"/>
            <rFont val="Tahoma"/>
            <family val="2"/>
          </rPr>
          <t xml:space="preserve">
Perdiem: 824 Participants: 100000 + Formateurs:  66 
Transport par jour: 200000/2=100000
Fourniture de bureau: 25 000/Pers/2=12500
Location salle :1 000 000/900= 1111
TOTAL: 213611</t>
        </r>
      </text>
    </comment>
    <comment ref="AG11" authorId="0" shapeId="0">
      <text>
        <r>
          <rPr>
            <b/>
            <sz val="9"/>
            <color indexed="81"/>
            <rFont val="Tahoma"/>
            <family val="2"/>
          </rPr>
          <t>Abdoul A.. Diallo:</t>
        </r>
        <r>
          <rPr>
            <sz val="9"/>
            <color indexed="81"/>
            <rFont val="Tahoma"/>
            <family val="2"/>
          </rPr>
          <t xml:space="preserve">
Perdiem: 824 Participants: 100000 + Formateurs:  66 
Transport par jour: 200000/2=100000
Fourniture de bureau: 25 000/Pers/2=12500
Location salle :1 000 000/900= 1111
TOTAL: 213611</t>
        </r>
      </text>
    </comment>
    <comment ref="I12" authorId="0" shapeId="0">
      <text>
        <r>
          <rPr>
            <b/>
            <sz val="9"/>
            <color indexed="81"/>
            <rFont val="Tahoma"/>
            <family val="2"/>
          </rPr>
          <t>Abdoul A.. Diallo:</t>
        </r>
        <r>
          <rPr>
            <sz val="9"/>
            <color indexed="81"/>
            <rFont val="Tahoma"/>
            <family val="2"/>
          </rPr>
          <t xml:space="preserve">
Perdiem: (12450 Participants) et (824 Formateurs): 100000    
Transport par jour: 200000/2=100000
Fourniture de bureau: 25 000/Pers/2=12500
Location salle :250 000/13274= 19
TOTAL: 212519</t>
        </r>
      </text>
    </comment>
    <comment ref="J12" authorId="0" shapeId="0">
      <text>
        <r>
          <rPr>
            <b/>
            <sz val="9"/>
            <color indexed="81"/>
            <rFont val="Tahoma"/>
            <family val="2"/>
          </rPr>
          <t>Abdoul A.. Diallo:</t>
        </r>
        <r>
          <rPr>
            <sz val="9"/>
            <color indexed="81"/>
            <rFont val="Tahoma"/>
            <family val="2"/>
          </rPr>
          <t xml:space="preserve">
Nbre des participants =12450+824</t>
        </r>
      </text>
    </comment>
    <comment ref="O12" authorId="0" shapeId="0">
      <text>
        <r>
          <rPr>
            <b/>
            <sz val="9"/>
            <color indexed="81"/>
            <rFont val="Tahoma"/>
            <family val="2"/>
          </rPr>
          <t>Abdoul A.. Diallo:</t>
        </r>
        <r>
          <rPr>
            <sz val="9"/>
            <color indexed="81"/>
            <rFont val="Tahoma"/>
            <family val="2"/>
          </rPr>
          <t xml:space="preserve">
Perdiem: (12450 Participants) et (824 Formateurs): 100000    
Transport par jour: 200000/2=100000
Fourniture de bureau: 25 000/Pers/2=12500
Location salle :250 000/13274= 19
TOTAL: 212519</t>
        </r>
      </text>
    </comment>
    <comment ref="P12" authorId="0" shapeId="0">
      <text>
        <r>
          <rPr>
            <b/>
            <sz val="9"/>
            <color indexed="81"/>
            <rFont val="Tahoma"/>
            <family val="2"/>
          </rPr>
          <t>Abdoul A.. Diallo:</t>
        </r>
        <r>
          <rPr>
            <sz val="9"/>
            <color indexed="81"/>
            <rFont val="Tahoma"/>
            <family val="2"/>
          </rPr>
          <t xml:space="preserve">
Nbre des participants =12450+824</t>
        </r>
      </text>
    </comment>
    <comment ref="U12" authorId="0" shapeId="0">
      <text>
        <r>
          <rPr>
            <b/>
            <sz val="9"/>
            <color indexed="81"/>
            <rFont val="Tahoma"/>
            <family val="2"/>
          </rPr>
          <t>Abdoul A.. Diallo:</t>
        </r>
        <r>
          <rPr>
            <sz val="9"/>
            <color indexed="81"/>
            <rFont val="Tahoma"/>
            <family val="2"/>
          </rPr>
          <t xml:space="preserve">
Perdiem: (12450 Participants) et (824 Formateurs): 100000    
Transport par jour: 200000/2=100000
Fourniture de bureau: 25 000/Pers/2=12500
Location salle :250 000/13274= 19
TOTAL: 212519</t>
        </r>
      </text>
    </comment>
    <comment ref="V12" authorId="0" shapeId="0">
      <text>
        <r>
          <rPr>
            <b/>
            <sz val="9"/>
            <color indexed="81"/>
            <rFont val="Tahoma"/>
            <family val="2"/>
          </rPr>
          <t>Abdoul A.. Diallo:</t>
        </r>
        <r>
          <rPr>
            <sz val="9"/>
            <color indexed="81"/>
            <rFont val="Tahoma"/>
            <family val="2"/>
          </rPr>
          <t xml:space="preserve">
Nbre des participants =12450+824</t>
        </r>
      </text>
    </comment>
    <comment ref="AA12" authorId="0" shapeId="0">
      <text>
        <r>
          <rPr>
            <b/>
            <sz val="9"/>
            <color indexed="81"/>
            <rFont val="Tahoma"/>
            <family val="2"/>
          </rPr>
          <t>Abdoul A.. Diallo:</t>
        </r>
        <r>
          <rPr>
            <sz val="9"/>
            <color indexed="81"/>
            <rFont val="Tahoma"/>
            <family val="2"/>
          </rPr>
          <t xml:space="preserve">
Perdiem: (12450 Participants) et (824 Formateurs): 100000    
Transport par jour: 200000/2=100000
Fourniture de bureau: 25 000/Pers/2=12500
Location salle :250 000/13274= 19
TOTAL: 212519</t>
        </r>
      </text>
    </comment>
    <comment ref="AB12" authorId="0" shapeId="0">
      <text>
        <r>
          <rPr>
            <b/>
            <sz val="9"/>
            <color indexed="81"/>
            <rFont val="Tahoma"/>
            <family val="2"/>
          </rPr>
          <t>Abdoul A.. Diallo:</t>
        </r>
        <r>
          <rPr>
            <sz val="9"/>
            <color indexed="81"/>
            <rFont val="Tahoma"/>
            <family val="2"/>
          </rPr>
          <t xml:space="preserve">
Nbre des participants =12450+824</t>
        </r>
      </text>
    </comment>
    <comment ref="AG12" authorId="0" shapeId="0">
      <text>
        <r>
          <rPr>
            <b/>
            <sz val="9"/>
            <color indexed="81"/>
            <rFont val="Tahoma"/>
            <family val="2"/>
          </rPr>
          <t>Abdoul A.. Diallo:</t>
        </r>
        <r>
          <rPr>
            <sz val="9"/>
            <color indexed="81"/>
            <rFont val="Tahoma"/>
            <family val="2"/>
          </rPr>
          <t xml:space="preserve">
Perdiem: (12450 Participants) et (824 Formateurs): 100000    
Transport par jour: 200000/2=100000
Fourniture de bureau: 25 000/Pers/2=12500
Location salle :250 000/13274= 19
TOTAL: 212519</t>
        </r>
      </text>
    </comment>
    <comment ref="AH12" authorId="0" shapeId="0">
      <text>
        <r>
          <rPr>
            <b/>
            <sz val="9"/>
            <color indexed="81"/>
            <rFont val="Tahoma"/>
            <family val="2"/>
          </rPr>
          <t>Abdoul A.. Diallo:</t>
        </r>
        <r>
          <rPr>
            <sz val="9"/>
            <color indexed="81"/>
            <rFont val="Tahoma"/>
            <family val="2"/>
          </rPr>
          <t xml:space="preserve">
Nbre des participants =12450+824</t>
        </r>
      </text>
    </comment>
    <comment ref="I13" authorId="0" shapeId="0">
      <text>
        <r>
          <rPr>
            <b/>
            <sz val="9"/>
            <color indexed="81"/>
            <rFont val="Tahoma"/>
            <family val="2"/>
          </rPr>
          <t>Abdoul A.. Diallo:</t>
        </r>
        <r>
          <rPr>
            <sz val="9"/>
            <color indexed="81"/>
            <rFont val="Tahoma"/>
            <family val="2"/>
          </rPr>
          <t xml:space="preserve">
Perdiem: (4658 Participants) et (824 Formateurs): 100000    
Transport par jour: 200000/2=100000
Fourniture de bureau: 25 000/Pers/2=12500
Location salle :250 000/5482= 46
TOTAL: 212546</t>
        </r>
      </text>
    </comment>
    <comment ref="J13" authorId="0" shapeId="0">
      <text>
        <r>
          <rPr>
            <b/>
            <sz val="9"/>
            <color indexed="81"/>
            <rFont val="Tahoma"/>
            <family val="2"/>
          </rPr>
          <t>Abdoul A.. Diallo:</t>
        </r>
        <r>
          <rPr>
            <sz val="9"/>
            <color indexed="81"/>
            <rFont val="Tahoma"/>
            <family val="2"/>
          </rPr>
          <t xml:space="preserve">
Nbre des participants =4658+824</t>
        </r>
      </text>
    </comment>
    <comment ref="O13" authorId="0" shapeId="0">
      <text>
        <r>
          <rPr>
            <b/>
            <sz val="9"/>
            <color indexed="81"/>
            <rFont val="Tahoma"/>
            <family val="2"/>
          </rPr>
          <t>Abdoul A.. Diallo:</t>
        </r>
        <r>
          <rPr>
            <sz val="9"/>
            <color indexed="81"/>
            <rFont val="Tahoma"/>
            <family val="2"/>
          </rPr>
          <t xml:space="preserve">
Perdiem: (4658 Participants) et (824 Formateurs): 100000    
Transport par jour: 200000/2=100000
Fourniture de bureau: 25 000/Pers/2=12500
Location salle :250 000/5482= 46
TOTAL: 212546</t>
        </r>
      </text>
    </comment>
    <comment ref="P13" authorId="0" shapeId="0">
      <text>
        <r>
          <rPr>
            <b/>
            <sz val="9"/>
            <color indexed="81"/>
            <rFont val="Tahoma"/>
            <family val="2"/>
          </rPr>
          <t>Abdoul A.. Diallo:</t>
        </r>
        <r>
          <rPr>
            <sz val="9"/>
            <color indexed="81"/>
            <rFont val="Tahoma"/>
            <family val="2"/>
          </rPr>
          <t xml:space="preserve">
Nbre des participants =4658+824</t>
        </r>
      </text>
    </comment>
    <comment ref="U13" authorId="0" shapeId="0">
      <text>
        <r>
          <rPr>
            <b/>
            <sz val="9"/>
            <color indexed="81"/>
            <rFont val="Tahoma"/>
            <family val="2"/>
          </rPr>
          <t>Abdoul A.. Diallo:</t>
        </r>
        <r>
          <rPr>
            <sz val="9"/>
            <color indexed="81"/>
            <rFont val="Tahoma"/>
            <family val="2"/>
          </rPr>
          <t xml:space="preserve">
Perdiem: (4658 Participants) et (824 Formateurs): 100000    
Transport par jour: 200000/2=100000
Fourniture de bureau: 25 000/Pers/2=12500
Location salle :250 000/5482= 46
TOTAL: 212546</t>
        </r>
      </text>
    </comment>
    <comment ref="V13" authorId="0" shapeId="0">
      <text>
        <r>
          <rPr>
            <b/>
            <sz val="9"/>
            <color indexed="81"/>
            <rFont val="Tahoma"/>
            <family val="2"/>
          </rPr>
          <t>Abdoul A.. Diallo:</t>
        </r>
        <r>
          <rPr>
            <sz val="9"/>
            <color indexed="81"/>
            <rFont val="Tahoma"/>
            <family val="2"/>
          </rPr>
          <t xml:space="preserve">
Nbre des participants =4658+824</t>
        </r>
      </text>
    </comment>
    <comment ref="AA13" authorId="0" shapeId="0">
      <text>
        <r>
          <rPr>
            <b/>
            <sz val="9"/>
            <color indexed="81"/>
            <rFont val="Tahoma"/>
            <family val="2"/>
          </rPr>
          <t>Abdoul A.. Diallo:</t>
        </r>
        <r>
          <rPr>
            <sz val="9"/>
            <color indexed="81"/>
            <rFont val="Tahoma"/>
            <family val="2"/>
          </rPr>
          <t xml:space="preserve">
Perdiem: (4658 Participants) et (824 Formateurs): 100000    
Transport par jour: 200000/2=100000
Fourniture de bureau: 25 000/Pers/2=12500
Location salle :250 000/5482= 46
TOTAL: 212546</t>
        </r>
      </text>
    </comment>
    <comment ref="AB13" authorId="0" shapeId="0">
      <text>
        <r>
          <rPr>
            <b/>
            <sz val="9"/>
            <color indexed="81"/>
            <rFont val="Tahoma"/>
            <family val="2"/>
          </rPr>
          <t>Abdoul A.. Diallo:</t>
        </r>
        <r>
          <rPr>
            <sz val="9"/>
            <color indexed="81"/>
            <rFont val="Tahoma"/>
            <family val="2"/>
          </rPr>
          <t xml:space="preserve">
Nbre des participants =4658+824</t>
        </r>
      </text>
    </comment>
    <comment ref="AG13" authorId="0" shapeId="0">
      <text>
        <r>
          <rPr>
            <b/>
            <sz val="9"/>
            <color indexed="81"/>
            <rFont val="Tahoma"/>
            <family val="2"/>
          </rPr>
          <t>Abdoul A.. Diallo:</t>
        </r>
        <r>
          <rPr>
            <sz val="9"/>
            <color indexed="81"/>
            <rFont val="Tahoma"/>
            <family val="2"/>
          </rPr>
          <t xml:space="preserve">
Perdiem: (4658 Participants) et (824 Formateurs): 100000    
Transport par jour: 200000/2=100000
Fourniture de bureau: 25 000/Pers/2=12500
Location salle :250 000/5482= 46
TOTAL: 212546</t>
        </r>
      </text>
    </comment>
    <comment ref="AH13" authorId="0" shapeId="0">
      <text>
        <r>
          <rPr>
            <b/>
            <sz val="9"/>
            <color indexed="81"/>
            <rFont val="Tahoma"/>
            <family val="2"/>
          </rPr>
          <t>Abdoul A.. Diallo:</t>
        </r>
        <r>
          <rPr>
            <sz val="9"/>
            <color indexed="81"/>
            <rFont val="Tahoma"/>
            <family val="2"/>
          </rPr>
          <t xml:space="preserve">
Nbre des participants =4658+824</t>
        </r>
      </text>
    </comment>
    <comment ref="I14" authorId="0" shapeId="0">
      <text>
        <r>
          <rPr>
            <b/>
            <sz val="9"/>
            <color indexed="81"/>
            <rFont val="Tahoma"/>
            <family val="2"/>
          </rPr>
          <t>Abdoul A.. Diallo:</t>
        </r>
        <r>
          <rPr>
            <sz val="9"/>
            <color indexed="81"/>
            <rFont val="Tahoma"/>
            <family val="2"/>
          </rPr>
          <t xml:space="preserve">
Carburant: 252Lx6vehx10000=15 120 000/3jx13part =387692
Perdiem ( 13 participants): 420 000
forfait collation: 10 000 000 /39 =256410
Communication radio/télé: 1 500 000 x3 Dif=4 500 000/39 = 115385
Support IEC (T-shirt, banderoles…): 10 000 000/39 =256410
TOTAL =1435897</t>
        </r>
      </text>
    </comment>
    <comment ref="O14" authorId="0" shapeId="0">
      <text>
        <r>
          <rPr>
            <b/>
            <sz val="9"/>
            <color indexed="81"/>
            <rFont val="Tahoma"/>
            <family val="2"/>
          </rPr>
          <t>Abdoul A.. Diallo:</t>
        </r>
        <r>
          <rPr>
            <sz val="9"/>
            <color indexed="81"/>
            <rFont val="Tahoma"/>
            <family val="2"/>
          </rPr>
          <t xml:space="preserve">
Carburant: 252Lx6vehx10000=15 120 000/3jx13part =387692
Perdiem ( 13 participants): 420 000
forfait collation: 10 000 000 /39 =256410
Communication radio/télé: 1 500 000 x3 Dif=4 500 000/39 = 115385
Support IEC (T-shirt, banderoles…): 10 000 000/39 =256410
TOTAL =1435897</t>
        </r>
      </text>
    </comment>
    <comment ref="U14" authorId="0" shapeId="0">
      <text>
        <r>
          <rPr>
            <b/>
            <sz val="9"/>
            <color indexed="81"/>
            <rFont val="Tahoma"/>
            <family val="2"/>
          </rPr>
          <t>Abdoul A.. Diallo:</t>
        </r>
        <r>
          <rPr>
            <sz val="9"/>
            <color indexed="81"/>
            <rFont val="Tahoma"/>
            <family val="2"/>
          </rPr>
          <t xml:space="preserve">
Carburant: 252Lx6vehx10000=15 120 000/3jx13part =387692
Perdiem ( 13 participants): 420 000
forfait collation: 10 000 000 /39 =256410
Communication radio/télé: 1 500 000 x3 Dif=4 500 000/39 = 115385
Support IEC (T-shirt, banderoles…): 10 000 000/39 =256410
TOTAL =1435897</t>
        </r>
      </text>
    </comment>
    <comment ref="AA14" authorId="0" shapeId="0">
      <text>
        <r>
          <rPr>
            <b/>
            <sz val="9"/>
            <color indexed="81"/>
            <rFont val="Tahoma"/>
            <family val="2"/>
          </rPr>
          <t>Abdoul A.. Diallo:</t>
        </r>
        <r>
          <rPr>
            <sz val="9"/>
            <color indexed="81"/>
            <rFont val="Tahoma"/>
            <family val="2"/>
          </rPr>
          <t xml:space="preserve">
Carburant: 252Lx6vehx10000=15 120 000/3jx13part =387692
Perdiem ( 13 participants): 420 000
forfait collation: 10 000 000 /39 =256410
Communication radio/télé: 1 500 000 x3 Dif=4 500 000/39 = 115385
Support IEC (T-shirt, banderoles…): 10 000 000/39 =256410
TOTAL =1435897</t>
        </r>
      </text>
    </comment>
    <comment ref="AG14" authorId="0" shapeId="0">
      <text>
        <r>
          <rPr>
            <b/>
            <sz val="9"/>
            <color indexed="81"/>
            <rFont val="Tahoma"/>
            <family val="2"/>
          </rPr>
          <t>Abdoul A.. Diallo:</t>
        </r>
        <r>
          <rPr>
            <sz val="9"/>
            <color indexed="81"/>
            <rFont val="Tahoma"/>
            <family val="2"/>
          </rPr>
          <t xml:space="preserve">
Carburant: 252Lx6vehx10000=15 120 000/3jx13part =387692
Perdiem ( 13 participants): 420 000
forfait collation: 10 000 000 /39 =256410
Communication radio/télé: 1 500 000 x3 Dif=4 500 000/39 = 115385
Support IEC (T-shirt, banderoles…): 10 000 000/39 =256410
TOTAL =1435897</t>
        </r>
      </text>
    </comment>
    <comment ref="I15" authorId="0" shapeId="0">
      <text>
        <r>
          <rPr>
            <b/>
            <sz val="9"/>
            <color indexed="81"/>
            <rFont val="Tahoma"/>
            <family val="2"/>
          </rPr>
          <t>Abdoul A.. Diallo:</t>
        </r>
        <r>
          <rPr>
            <sz val="9"/>
            <color indexed="81"/>
            <rFont val="Tahoma"/>
            <family val="2"/>
          </rPr>
          <t xml:space="preserve">
Carburant: 20Lx35vehx10000x3j=21 000 000 
forfait collation: 1 500 000x 35=52 500 000
Communication radio Rural: 1 500 000 x3 Dif =4 500 000x35=157 500 000
TOTAL: 231 000 000 </t>
        </r>
      </text>
    </comment>
    <comment ref="O15" authorId="0" shapeId="0">
      <text>
        <r>
          <rPr>
            <b/>
            <sz val="9"/>
            <color indexed="81"/>
            <rFont val="Tahoma"/>
            <family val="2"/>
          </rPr>
          <t>Abdoul A.. Diallo:</t>
        </r>
        <r>
          <rPr>
            <sz val="9"/>
            <color indexed="81"/>
            <rFont val="Tahoma"/>
            <family val="2"/>
          </rPr>
          <t xml:space="preserve">
Carburant: 20Lx35vehx10000x3j=21 000 000 
forfait collation: 1 500 000x 35=52 500 000
Communication radio Rural: 1 500 000 x3 Dif =4 500 000x35=157 500 000
TOTAL: 231 000 000 </t>
        </r>
      </text>
    </comment>
    <comment ref="U15" authorId="0" shapeId="0">
      <text>
        <r>
          <rPr>
            <b/>
            <sz val="9"/>
            <color indexed="81"/>
            <rFont val="Tahoma"/>
            <family val="2"/>
          </rPr>
          <t>Abdoul A.. Diallo:</t>
        </r>
        <r>
          <rPr>
            <sz val="9"/>
            <color indexed="81"/>
            <rFont val="Tahoma"/>
            <family val="2"/>
          </rPr>
          <t xml:space="preserve">
Carburant: 20Lx35vehx10000x3j=21 000 000 
forfait collation: 1 500 000x 35=52 500 000
Communication radio Rural: 1 500 000 x3 Dif =4 500 000x35=157 500 000
TOTAL: 231 000 000 </t>
        </r>
      </text>
    </comment>
    <comment ref="AA15" authorId="0" shapeId="0">
      <text>
        <r>
          <rPr>
            <b/>
            <sz val="9"/>
            <color indexed="81"/>
            <rFont val="Tahoma"/>
            <family val="2"/>
          </rPr>
          <t>Abdoul A.. Diallo:</t>
        </r>
        <r>
          <rPr>
            <sz val="9"/>
            <color indexed="81"/>
            <rFont val="Tahoma"/>
            <family val="2"/>
          </rPr>
          <t xml:space="preserve">
Carburant: 20Lx35vehx10000x3j=21 000 000 
forfait collation: 1 500 000x 35=52 500 000
Communication radio Rural: 1 500 000 x3 Dif =4 500 000x35=157 500 000
TOTAL: 231 000 000 </t>
        </r>
      </text>
    </comment>
    <comment ref="AG15" authorId="0" shapeId="0">
      <text>
        <r>
          <rPr>
            <b/>
            <sz val="9"/>
            <color indexed="81"/>
            <rFont val="Tahoma"/>
            <family val="2"/>
          </rPr>
          <t>Abdoul A.. Diallo:</t>
        </r>
        <r>
          <rPr>
            <sz val="9"/>
            <color indexed="81"/>
            <rFont val="Tahoma"/>
            <family val="2"/>
          </rPr>
          <t xml:space="preserve">
Carburant: 20Lx35vehx10000x3j=21 000 000 
forfait collation: 1 500 000x 35=52 500 000
Communication radio Rural: 1 500 000 x3 Dif =4 500 000x35=157 500 000
TOTAL: 231 000 000 </t>
        </r>
      </text>
    </comment>
    <comment ref="I16" authorId="0" shapeId="0">
      <text>
        <r>
          <rPr>
            <b/>
            <sz val="9"/>
            <color indexed="81"/>
            <rFont val="Tahoma"/>
            <family val="2"/>
          </rPr>
          <t>Abdoul A.. Diallo:</t>
        </r>
        <r>
          <rPr>
            <sz val="9"/>
            <color indexed="81"/>
            <rFont val="Tahoma"/>
            <family val="2"/>
          </rPr>
          <t xml:space="preserve">
Perdiem (838x35DS) = 29330 Distributeurs):50 000
Transport méd. des DS vers CS: 4 500 000x35 DS= 157 500 000/29330x5= 26850
TOTAL= </t>
        </r>
      </text>
    </comment>
    <comment ref="O16" authorId="0" shapeId="0">
      <text>
        <r>
          <rPr>
            <b/>
            <sz val="9"/>
            <color indexed="81"/>
            <rFont val="Tahoma"/>
            <family val="2"/>
          </rPr>
          <t>Abdoul A.. Diallo:</t>
        </r>
        <r>
          <rPr>
            <sz val="9"/>
            <color indexed="81"/>
            <rFont val="Tahoma"/>
            <family val="2"/>
          </rPr>
          <t xml:space="preserve">
Perdiem (838x35DS) = 29330 Distributeurs):50 000
Transport méd. des DS vers CS: 4 500 000x35 DS= 157 500 000/29330x5= 26850
TOTAL= </t>
        </r>
      </text>
    </comment>
    <comment ref="U16" authorId="0" shapeId="0">
      <text>
        <r>
          <rPr>
            <b/>
            <sz val="9"/>
            <color indexed="81"/>
            <rFont val="Tahoma"/>
            <family val="2"/>
          </rPr>
          <t>Abdoul A.. Diallo:</t>
        </r>
        <r>
          <rPr>
            <sz val="9"/>
            <color indexed="81"/>
            <rFont val="Tahoma"/>
            <family val="2"/>
          </rPr>
          <t xml:space="preserve">
Perdiem (838x35DS) = 29330 Distributeurs):50 000
Transport méd. des DS vers CS: 4 500 000x35 DS= 157 500 000/29330x5= 26850
TOTAL= </t>
        </r>
      </text>
    </comment>
    <comment ref="AA16" authorId="0" shapeId="0">
      <text>
        <r>
          <rPr>
            <b/>
            <sz val="9"/>
            <color indexed="81"/>
            <rFont val="Tahoma"/>
            <family val="2"/>
          </rPr>
          <t>Abdoul A.. Diallo:</t>
        </r>
        <r>
          <rPr>
            <sz val="9"/>
            <color indexed="81"/>
            <rFont val="Tahoma"/>
            <family val="2"/>
          </rPr>
          <t xml:space="preserve">
Perdiem (838x35DS) = 29330 Distributeurs):50 000
Transport méd. des DS vers CS: 4 500 000x35 DS= 157 500 000/29330x5= 26850
TOTAL= </t>
        </r>
      </text>
    </comment>
    <comment ref="AG16" authorId="0" shapeId="0">
      <text>
        <r>
          <rPr>
            <b/>
            <sz val="9"/>
            <color indexed="81"/>
            <rFont val="Tahoma"/>
            <family val="2"/>
          </rPr>
          <t>Abdoul A.. Diallo:</t>
        </r>
        <r>
          <rPr>
            <sz val="9"/>
            <color indexed="81"/>
            <rFont val="Tahoma"/>
            <family val="2"/>
          </rPr>
          <t xml:space="preserve">
Perdiem (838x35DS) = 29330 Distributeurs):50 000
Transport méd. des DS vers CS: 4 500 000x35 DS= 157 500 000/29330x5= 26850
TOTAL= </t>
        </r>
      </text>
    </comment>
    <comment ref="I17" authorId="0" shapeId="0">
      <text>
        <r>
          <rPr>
            <b/>
            <sz val="9"/>
            <color indexed="81"/>
            <rFont val="Tahoma"/>
            <family val="2"/>
          </rPr>
          <t>Abdoul A.. Diallo:</t>
        </r>
        <r>
          <rPr>
            <sz val="9"/>
            <color indexed="81"/>
            <rFont val="Tahoma"/>
            <family val="2"/>
          </rPr>
          <t xml:space="preserve">
Carburant: 312Lx35 vehx10000=109 200 000/490 = 222857
Location vehicule: 28 vehx 650 000 = 18 200 000/70 = 260 000
Perdiem ( 35 superv  et 35 Chauf): 420 000
TOTAL =902857
</t>
        </r>
      </text>
    </comment>
    <comment ref="O17" authorId="0" shapeId="0">
      <text>
        <r>
          <rPr>
            <b/>
            <sz val="9"/>
            <color indexed="81"/>
            <rFont val="Tahoma"/>
            <family val="2"/>
          </rPr>
          <t>Abdoul A.. Diallo:</t>
        </r>
        <r>
          <rPr>
            <sz val="9"/>
            <color indexed="81"/>
            <rFont val="Tahoma"/>
            <family val="2"/>
          </rPr>
          <t xml:space="preserve">
Carburant: 312Lx35 vehx10000=109 200 000/490 = 222857
Location vehicule: 28 vehx 650 000 = 18 200 000/70 = 260 000
Perdiem ( 35 superv  et 35 Chauf): 420 000
TOTAL =902857
</t>
        </r>
      </text>
    </comment>
    <comment ref="U17" authorId="0" shapeId="0">
      <text>
        <r>
          <rPr>
            <b/>
            <sz val="9"/>
            <color indexed="81"/>
            <rFont val="Tahoma"/>
            <family val="2"/>
          </rPr>
          <t>Abdoul A.. Diallo:</t>
        </r>
        <r>
          <rPr>
            <sz val="9"/>
            <color indexed="81"/>
            <rFont val="Tahoma"/>
            <family val="2"/>
          </rPr>
          <t xml:space="preserve">
Carburant: 312Lx35 vehx10000=109 200 000/490 = 222857
Location vehicule: 28 vehx 650 000 = 18 200 000/70 = 260 000
Perdiem ( 35 superv  et 35 Chauf): 420 000
TOTAL =902857
</t>
        </r>
      </text>
    </comment>
    <comment ref="AA17" authorId="0" shapeId="0">
      <text>
        <r>
          <rPr>
            <b/>
            <sz val="9"/>
            <color indexed="81"/>
            <rFont val="Tahoma"/>
            <family val="2"/>
          </rPr>
          <t>Abdoul A.. Diallo:</t>
        </r>
        <r>
          <rPr>
            <sz val="9"/>
            <color indexed="81"/>
            <rFont val="Tahoma"/>
            <family val="2"/>
          </rPr>
          <t xml:space="preserve">
Carburant: 312Lx35 vehx10000=109 200 000/490 = 222857
Location vehicule: 28 vehx 650 000 = 18 200 000/70 = 260 000
Perdiem ( 35 superv  et 35 Chauf): 420 000
TOTAL =902857
</t>
        </r>
      </text>
    </comment>
    <comment ref="AG17" authorId="0" shapeId="0">
      <text>
        <r>
          <rPr>
            <b/>
            <sz val="9"/>
            <color indexed="81"/>
            <rFont val="Tahoma"/>
            <family val="2"/>
          </rPr>
          <t>Abdoul A.. Diallo:</t>
        </r>
        <r>
          <rPr>
            <sz val="9"/>
            <color indexed="81"/>
            <rFont val="Tahoma"/>
            <family val="2"/>
          </rPr>
          <t xml:space="preserve">
Carburant: 312Lx35 vehx10000=109 200 000/490 = 222857
Location vehicule: 28 vehx 650 000 = 18 200 000/70 = 260 000
Perdiem ( 35 superv  et 35 Chauf): 420 000
TOTAL =902857
</t>
        </r>
      </text>
    </comment>
    <comment ref="I18" authorId="0" shapeId="0">
      <text>
        <r>
          <rPr>
            <b/>
            <sz val="9"/>
            <color indexed="81"/>
            <rFont val="Tahoma"/>
            <family val="2"/>
          </rPr>
          <t>Abdoul A.. Diallo:</t>
        </r>
        <r>
          <rPr>
            <sz val="9"/>
            <color indexed="81"/>
            <rFont val="Tahoma"/>
            <family val="2"/>
          </rPr>
          <t xml:space="preserve">
Carburant: 85Lx5DSx8vehx10000=34 000 000/120 =283 333
Perdiem ( 16 superv et 8 Chauf pour les 8 régions): 420 000
TOTAL = 703333
</t>
        </r>
      </text>
    </comment>
    <comment ref="O18" authorId="0" shapeId="0">
      <text>
        <r>
          <rPr>
            <b/>
            <sz val="9"/>
            <color indexed="81"/>
            <rFont val="Tahoma"/>
            <family val="2"/>
          </rPr>
          <t>Abdoul A.. Diallo:</t>
        </r>
        <r>
          <rPr>
            <sz val="9"/>
            <color indexed="81"/>
            <rFont val="Tahoma"/>
            <family val="2"/>
          </rPr>
          <t xml:space="preserve">
Carburant: 85Lx5DSx8vehx10000=34 000 000/120 =283 333
Perdiem ( 16 superv et 8 Chauf pour les 8 régions): 420 000
TOTAL = 703333
</t>
        </r>
      </text>
    </comment>
    <comment ref="U18" authorId="0" shapeId="0">
      <text>
        <r>
          <rPr>
            <b/>
            <sz val="9"/>
            <color indexed="81"/>
            <rFont val="Tahoma"/>
            <family val="2"/>
          </rPr>
          <t>Abdoul A.. Diallo:</t>
        </r>
        <r>
          <rPr>
            <sz val="9"/>
            <color indexed="81"/>
            <rFont val="Tahoma"/>
            <family val="2"/>
          </rPr>
          <t xml:space="preserve">
Carburant: 85Lx5DSx8vehx10000=34 000 000/120 =283 333
Perdiem ( 16 superv et 8 Chauf pour les 8 régions): 420 000
TOTAL = 703333
</t>
        </r>
      </text>
    </comment>
    <comment ref="AA18" authorId="0" shapeId="0">
      <text>
        <r>
          <rPr>
            <b/>
            <sz val="9"/>
            <color indexed="81"/>
            <rFont val="Tahoma"/>
            <family val="2"/>
          </rPr>
          <t>Abdoul A.. Diallo:</t>
        </r>
        <r>
          <rPr>
            <sz val="9"/>
            <color indexed="81"/>
            <rFont val="Tahoma"/>
            <family val="2"/>
          </rPr>
          <t xml:space="preserve">
Carburant: 85Lx5DSx8vehx10000=34 000 000/120 =283 333
Perdiem ( 16 superv et 8 Chauf pour les 8 régions): 420 000
TOTAL = 703333
</t>
        </r>
      </text>
    </comment>
    <comment ref="AG18" authorId="0" shapeId="0">
      <text>
        <r>
          <rPr>
            <b/>
            <sz val="9"/>
            <color indexed="81"/>
            <rFont val="Tahoma"/>
            <family val="2"/>
          </rPr>
          <t>Abdoul A.. Diallo:</t>
        </r>
        <r>
          <rPr>
            <sz val="9"/>
            <color indexed="81"/>
            <rFont val="Tahoma"/>
            <family val="2"/>
          </rPr>
          <t xml:space="preserve">
Carburant: 85Lx5DSx8vehx10000=34 000 000/120 =283 333
Perdiem ( 16 superv et 8 Chauf pour les 8 régions): 420 000
TOTAL = 703333
</t>
        </r>
      </text>
    </comment>
    <comment ref="I19" authorId="0" shapeId="0">
      <text>
        <r>
          <rPr>
            <b/>
            <sz val="9"/>
            <color indexed="81"/>
            <rFont val="Tahoma"/>
            <family val="2"/>
          </rPr>
          <t>Abdoul A.. Diallo:</t>
        </r>
        <r>
          <rPr>
            <sz val="9"/>
            <color indexed="81"/>
            <rFont val="Tahoma"/>
            <family val="2"/>
          </rPr>
          <t xml:space="preserve">
Carburant: 20Lx38vehx10000=7 600 000/114 = 66 667 
Perdiem (38x2 superv et 38 Chauf =114): 100 000
TOTAL = 166667</t>
        </r>
      </text>
    </comment>
    <comment ref="O19" authorId="0" shapeId="0">
      <text>
        <r>
          <rPr>
            <b/>
            <sz val="9"/>
            <color indexed="81"/>
            <rFont val="Tahoma"/>
            <family val="2"/>
          </rPr>
          <t>Abdoul A.. Diallo:</t>
        </r>
        <r>
          <rPr>
            <sz val="9"/>
            <color indexed="81"/>
            <rFont val="Tahoma"/>
            <family val="2"/>
          </rPr>
          <t xml:space="preserve">
Carburant: 20Lx38vehx10000=7 600 000/114 = 66 667 
Perdiem (38x2 superv et 38 Chauf =114): 100 000
TOTAL = 166667</t>
        </r>
      </text>
    </comment>
    <comment ref="U19" authorId="0" shapeId="0">
      <text>
        <r>
          <rPr>
            <b/>
            <sz val="9"/>
            <color indexed="81"/>
            <rFont val="Tahoma"/>
            <family val="2"/>
          </rPr>
          <t>Abdoul A.. Diallo:</t>
        </r>
        <r>
          <rPr>
            <sz val="9"/>
            <color indexed="81"/>
            <rFont val="Tahoma"/>
            <family val="2"/>
          </rPr>
          <t xml:space="preserve">
Carburant: 20Lx38vehx10000=7 600 000/114 = 66 667 
Perdiem (38x2 superv et 38 Chauf =114): 100 000
TOTAL = 166667</t>
        </r>
      </text>
    </comment>
    <comment ref="AA19" authorId="0" shapeId="0">
      <text>
        <r>
          <rPr>
            <b/>
            <sz val="9"/>
            <color indexed="81"/>
            <rFont val="Tahoma"/>
            <family val="2"/>
          </rPr>
          <t>Abdoul A.. Diallo:</t>
        </r>
        <r>
          <rPr>
            <sz val="9"/>
            <color indexed="81"/>
            <rFont val="Tahoma"/>
            <family val="2"/>
          </rPr>
          <t xml:space="preserve">
Carburant: 20Lx38vehx10000=7 600 000/114 = 66 667 
Perdiem (38x2 superv et 38 Chauf =114): 100 000
TOTAL = 166667</t>
        </r>
      </text>
    </comment>
    <comment ref="AG19" authorId="0" shapeId="0">
      <text>
        <r>
          <rPr>
            <b/>
            <sz val="9"/>
            <color indexed="81"/>
            <rFont val="Tahoma"/>
            <family val="2"/>
          </rPr>
          <t>Abdoul A.. Diallo:</t>
        </r>
        <r>
          <rPr>
            <sz val="9"/>
            <color indexed="81"/>
            <rFont val="Tahoma"/>
            <family val="2"/>
          </rPr>
          <t xml:space="preserve">
Carburant: 20Lx38vehx10000=7 600 000/114 = 66 667 
Perdiem (38x2 superv et 38 Chauf =114): 100 000
TOTAL = 166667</t>
        </r>
      </text>
    </comment>
    <comment ref="I20" authorId="0" shapeId="0">
      <text>
        <r>
          <rPr>
            <b/>
            <sz val="9"/>
            <color indexed="81"/>
            <rFont val="Tahoma"/>
            <family val="2"/>
          </rPr>
          <t>Abdoul A.. Diallo:</t>
        </r>
        <r>
          <rPr>
            <sz val="9"/>
            <color indexed="81"/>
            <rFont val="Tahoma"/>
            <family val="2"/>
          </rPr>
          <t xml:space="preserve">
Carburant: 5Lx10000 = 50 000  
Perdiem (412x2 superv= 824): 100 000
TOTAL = 150 000</t>
        </r>
      </text>
    </comment>
    <comment ref="O20" authorId="0" shapeId="0">
      <text>
        <r>
          <rPr>
            <b/>
            <sz val="9"/>
            <color indexed="81"/>
            <rFont val="Tahoma"/>
            <family val="2"/>
          </rPr>
          <t>Abdoul A.. Diallo:</t>
        </r>
        <r>
          <rPr>
            <sz val="9"/>
            <color indexed="81"/>
            <rFont val="Tahoma"/>
            <family val="2"/>
          </rPr>
          <t xml:space="preserve">
Carburant: 5Lx10000 = 50 000  
Perdiem (412x2 superv= 824): 100 000
TOTAL = 150 000</t>
        </r>
      </text>
    </comment>
    <comment ref="U20" authorId="0" shapeId="0">
      <text>
        <r>
          <rPr>
            <b/>
            <sz val="9"/>
            <color indexed="81"/>
            <rFont val="Tahoma"/>
            <family val="2"/>
          </rPr>
          <t>Abdoul A.. Diallo:</t>
        </r>
        <r>
          <rPr>
            <sz val="9"/>
            <color indexed="81"/>
            <rFont val="Tahoma"/>
            <family val="2"/>
          </rPr>
          <t xml:space="preserve">
Carburant: 5Lx10000 = 50 000  
Perdiem (412x2 superv= 824): 100 000
TOTAL = 150 000</t>
        </r>
      </text>
    </comment>
    <comment ref="AA20" authorId="0" shapeId="0">
      <text>
        <r>
          <rPr>
            <b/>
            <sz val="9"/>
            <color indexed="81"/>
            <rFont val="Tahoma"/>
            <family val="2"/>
          </rPr>
          <t>Abdoul A.. Diallo:</t>
        </r>
        <r>
          <rPr>
            <sz val="9"/>
            <color indexed="81"/>
            <rFont val="Tahoma"/>
            <family val="2"/>
          </rPr>
          <t xml:space="preserve">
Carburant: 5Lx10000 = 50 000  
Perdiem (412x2 superv= 824): 100 000
TOTAL = 150 000</t>
        </r>
      </text>
    </comment>
    <comment ref="AG20" authorId="0" shapeId="0">
      <text>
        <r>
          <rPr>
            <b/>
            <sz val="9"/>
            <color indexed="81"/>
            <rFont val="Tahoma"/>
            <family val="2"/>
          </rPr>
          <t>Abdoul A.. Diallo:</t>
        </r>
        <r>
          <rPr>
            <sz val="9"/>
            <color indexed="81"/>
            <rFont val="Tahoma"/>
            <family val="2"/>
          </rPr>
          <t xml:space="preserve">
Carburant: 5Lx10000 = 50 000  
Perdiem (412x2 superv= 824): 100 000
TOTAL = 150 000</t>
        </r>
      </text>
    </comment>
    <comment ref="I21" authorId="0" shapeId="0">
      <text>
        <r>
          <rPr>
            <b/>
            <sz val="9"/>
            <color indexed="81"/>
            <rFont val="Tahoma"/>
            <family val="2"/>
          </rPr>
          <t>Abdoul A.. Diallo:</t>
        </r>
        <r>
          <rPr>
            <sz val="9"/>
            <color indexed="81"/>
            <rFont val="Tahoma"/>
            <family val="2"/>
          </rPr>
          <t xml:space="preserve">
Location véhicule: 650 000/veh/j
Carburant: 135L  X10 000F
1 350 000
Perdiem moniteur: 420 000
TOTAL = 2 420 000</t>
        </r>
      </text>
    </comment>
    <comment ref="O21" authorId="0" shapeId="0">
      <text>
        <r>
          <rPr>
            <b/>
            <sz val="9"/>
            <color indexed="81"/>
            <rFont val="Tahoma"/>
            <family val="2"/>
          </rPr>
          <t>Abdoul A.. Diallo:</t>
        </r>
        <r>
          <rPr>
            <sz val="9"/>
            <color indexed="81"/>
            <rFont val="Tahoma"/>
            <family val="2"/>
          </rPr>
          <t xml:space="preserve">
Location véhicule: 650 000/veh/j
Carburant: 135L  X10 000F
1 350 000
Perdiem moniteur: 420 000
TOTAL = 2 420 000</t>
        </r>
      </text>
    </comment>
    <comment ref="U21" authorId="0" shapeId="0">
      <text>
        <r>
          <rPr>
            <b/>
            <sz val="9"/>
            <color indexed="81"/>
            <rFont val="Tahoma"/>
            <family val="2"/>
          </rPr>
          <t>Abdoul A.. Diallo:</t>
        </r>
        <r>
          <rPr>
            <sz val="9"/>
            <color indexed="81"/>
            <rFont val="Tahoma"/>
            <family val="2"/>
          </rPr>
          <t xml:space="preserve">
Location véhicule: 650 000/veh/j
Carburant: 135L  X10 000F
1 350 000
Perdiem moniteur: 420 000
TOTAL = 2 420 000</t>
        </r>
      </text>
    </comment>
    <comment ref="AA21" authorId="0" shapeId="0">
      <text>
        <r>
          <rPr>
            <b/>
            <sz val="9"/>
            <color indexed="81"/>
            <rFont val="Tahoma"/>
            <family val="2"/>
          </rPr>
          <t>Abdoul A.. Diallo:</t>
        </r>
        <r>
          <rPr>
            <sz val="9"/>
            <color indexed="81"/>
            <rFont val="Tahoma"/>
            <family val="2"/>
          </rPr>
          <t xml:space="preserve">
Location véhicule: 650 000/veh/j
Carburant: 135L  X10 000F
1 350 000
Perdiem moniteur: 420 000
TOTAL = 2 420 000</t>
        </r>
      </text>
    </comment>
    <comment ref="AG21" authorId="0" shapeId="0">
      <text>
        <r>
          <rPr>
            <b/>
            <sz val="9"/>
            <color indexed="81"/>
            <rFont val="Tahoma"/>
            <family val="2"/>
          </rPr>
          <t>Abdoul A.. Diallo:</t>
        </r>
        <r>
          <rPr>
            <sz val="9"/>
            <color indexed="81"/>
            <rFont val="Tahoma"/>
            <family val="2"/>
          </rPr>
          <t xml:space="preserve">
Location véhicule: 650 000/veh/j
Carburant: 135L  X10 000F
1 350 000
Perdiem moniteur: 420 000
TOTAL = 2 420 000</t>
        </r>
      </text>
    </comment>
    <comment ref="I22"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O22"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U22"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AA22"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AG22"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I23" authorId="0" shapeId="0">
      <text>
        <r>
          <rPr>
            <b/>
            <sz val="9"/>
            <color indexed="81"/>
            <rFont val="Tahoma"/>
            <family val="2"/>
          </rPr>
          <t xml:space="preserve">Abdoul A.. Diallo:
Perdiem (CCS 412, DPS 38x2 = 488): = 100 000 </t>
        </r>
        <r>
          <rPr>
            <sz val="9"/>
            <color indexed="81"/>
            <rFont val="Tahoma"/>
            <family val="2"/>
          </rPr>
          <t xml:space="preserve">
Transport CCS : 200 000 x412= 82 400 000/488 = 168 852
Carburant Groupe Electrogène:  20Lx38Dsx10000 =7 600 000/488 = 15 574  
TOTAL = 284 426</t>
        </r>
      </text>
    </comment>
    <comment ref="O23" authorId="0" shapeId="0">
      <text>
        <r>
          <rPr>
            <b/>
            <sz val="9"/>
            <color indexed="81"/>
            <rFont val="Tahoma"/>
            <family val="2"/>
          </rPr>
          <t xml:space="preserve">Abdoul A.. Diallo:
Perdiem (CCS 412, DPS 38x2 = 488): = 100 000 </t>
        </r>
        <r>
          <rPr>
            <sz val="9"/>
            <color indexed="81"/>
            <rFont val="Tahoma"/>
            <family val="2"/>
          </rPr>
          <t xml:space="preserve">
Transport CCS : 200 000 x412= 82 400 000/488 = 168 852
Carburant Groupe Electrogène:  20Lx38Dsx10000 =7 600 000/488 = 15 574  
TOTAL = 284 426</t>
        </r>
      </text>
    </comment>
    <comment ref="U23" authorId="0" shapeId="0">
      <text>
        <r>
          <rPr>
            <b/>
            <sz val="9"/>
            <color indexed="81"/>
            <rFont val="Tahoma"/>
            <family val="2"/>
          </rPr>
          <t xml:space="preserve">Abdoul A.. Diallo:
Perdiem (CCS 412, DPS 38x2 = 488): = 100 000 </t>
        </r>
        <r>
          <rPr>
            <sz val="9"/>
            <color indexed="81"/>
            <rFont val="Tahoma"/>
            <family val="2"/>
          </rPr>
          <t xml:space="preserve">
Transport CCS : 200 000 x412= 82 400 000/488 = 168 852
Carburant Groupe Electrogène:  20Lx38Dsx10000 =7 600 000/488 = 15 574  
TOTAL = 284 426</t>
        </r>
      </text>
    </comment>
    <comment ref="AA23" authorId="0" shapeId="0">
      <text>
        <r>
          <rPr>
            <b/>
            <sz val="9"/>
            <color indexed="81"/>
            <rFont val="Tahoma"/>
            <family val="2"/>
          </rPr>
          <t xml:space="preserve">Abdoul A.. Diallo:
Perdiem (CCS 412, DPS 38x2 = 488): = 100 000 </t>
        </r>
        <r>
          <rPr>
            <sz val="9"/>
            <color indexed="81"/>
            <rFont val="Tahoma"/>
            <family val="2"/>
          </rPr>
          <t xml:space="preserve">
Transport CCS : 200 000 x412= 82 400 000/488 = 168 852
Carburant Groupe Electrogène:  20Lx38Dsx10000 =7 600 000/488 = 15 574  
TOTAL = 284 426</t>
        </r>
      </text>
    </comment>
    <comment ref="AG23" authorId="0" shapeId="0">
      <text>
        <r>
          <rPr>
            <b/>
            <sz val="9"/>
            <color indexed="81"/>
            <rFont val="Tahoma"/>
            <family val="2"/>
          </rPr>
          <t xml:space="preserve">Abdoul A.. Diallo:
Perdiem (CCS 412, DPS 38x2 = 488): = 100 000 </t>
        </r>
        <r>
          <rPr>
            <sz val="9"/>
            <color indexed="81"/>
            <rFont val="Tahoma"/>
            <family val="2"/>
          </rPr>
          <t xml:space="preserve">
Transport CCS : 200 000 x412= 82 400 000/488 = 168 852
Carburant Groupe Electrogène:  20Lx38Dsx10000 =7 600 000/488 = 15 574  
TOTAL = 284 426</t>
        </r>
      </text>
    </comment>
    <comment ref="I24" authorId="0" shapeId="0">
      <text>
        <r>
          <rPr>
            <b/>
            <sz val="9"/>
            <color indexed="81"/>
            <rFont val="Tahoma"/>
            <family val="2"/>
          </rPr>
          <t>Abdoul A.. Diallo:</t>
        </r>
        <r>
          <rPr>
            <sz val="9"/>
            <color indexed="81"/>
            <rFont val="Tahoma"/>
            <family val="2"/>
          </rPr>
          <t xml:space="preserve">
Perdiem: (8x2 Nat+38x2 DS+30+8Chauf): 420000 
Carburant nat: 100Lx8Vehiculex10000 = 8 000 000/2x130 = 30 769
Carburant DS: 30Lx38x10000 = 11 400 000/260 =43 846
Location salle :1 000 000 x 8 = 8 000 000/130 = 61 538
TOTAL: 556 153</t>
        </r>
      </text>
    </comment>
    <comment ref="O24" authorId="0" shapeId="0">
      <text>
        <r>
          <rPr>
            <b/>
            <sz val="9"/>
            <color indexed="81"/>
            <rFont val="Tahoma"/>
            <family val="2"/>
          </rPr>
          <t>Abdoul A.. Diallo:</t>
        </r>
        <r>
          <rPr>
            <sz val="9"/>
            <color indexed="81"/>
            <rFont val="Tahoma"/>
            <family val="2"/>
          </rPr>
          <t xml:space="preserve">
Perdiem: (8x2 Nat+38x2 DS+30+8Chauf): 420000 
Carburant nat: 100Lx8Vehiculex10000 = 8 000 000/2x130 = 30 769
Carburant DS: 30Lx38x10000 = 11 400 000/260 =43 846
Location salle :1 000 000 x 8 = 8 000 000/130 = 61 538
TOTAL: 556 153</t>
        </r>
      </text>
    </comment>
    <comment ref="U24" authorId="0" shapeId="0">
      <text>
        <r>
          <rPr>
            <b/>
            <sz val="9"/>
            <color indexed="81"/>
            <rFont val="Tahoma"/>
            <family val="2"/>
          </rPr>
          <t>Abdoul A.. Diallo:</t>
        </r>
        <r>
          <rPr>
            <sz val="9"/>
            <color indexed="81"/>
            <rFont val="Tahoma"/>
            <family val="2"/>
          </rPr>
          <t xml:space="preserve">
Perdiem: (8x2 Nat+38x2 DS+30+8Chauf): 420000 
Carburant nat: 100Lx8Vehiculex10000 = 8 000 000/2x130 = 30 769
Carburant DS: 30Lx38x10000 = 11 400 000/260 =43 846
Location salle :1 000 000 x 8 = 8 000 000/130 = 61 538
TOTAL: 556 153</t>
        </r>
      </text>
    </comment>
    <comment ref="AA24" authorId="0" shapeId="0">
      <text>
        <r>
          <rPr>
            <b/>
            <sz val="9"/>
            <color indexed="81"/>
            <rFont val="Tahoma"/>
            <family val="2"/>
          </rPr>
          <t>Abdoul A.. Diallo:</t>
        </r>
        <r>
          <rPr>
            <sz val="9"/>
            <color indexed="81"/>
            <rFont val="Tahoma"/>
            <family val="2"/>
          </rPr>
          <t xml:space="preserve">
Perdiem: (8x2 Nat+38x2 DS+30+8Chauf): 420000 
Carburant nat: 100Lx8Vehiculex10000 = 8 000 000/2x130 = 30 769
Carburant DS: 30Lx38x10000 = 11 400 000/260 =43 846
Location salle :1 000 000 x 8 = 8 000 000/130 = 61 538
TOTAL: 556 153</t>
        </r>
      </text>
    </comment>
    <comment ref="AG24" authorId="0" shapeId="0">
      <text>
        <r>
          <rPr>
            <b/>
            <sz val="9"/>
            <color indexed="81"/>
            <rFont val="Tahoma"/>
            <family val="2"/>
          </rPr>
          <t>Abdoul A.. Diallo:</t>
        </r>
        <r>
          <rPr>
            <sz val="9"/>
            <color indexed="81"/>
            <rFont val="Tahoma"/>
            <family val="2"/>
          </rPr>
          <t xml:space="preserve">
Perdiem: (8x2 Nat+38x2 DS+30+8Chauf): 420000 
Carburant nat: 100Lx8Vehiculex10000 = 8 000 000/2x130 = 30 769
Carburant DS: 30Lx38x10000 = 11 400 000/260 =43 846
Location salle :1 000 000 x 8 = 8 000 000/130 = 61 538
TOTAL: 556 153</t>
        </r>
      </text>
    </comment>
    <comment ref="I25" authorId="2" shapeId="0">
      <text>
        <r>
          <rPr>
            <sz val="9"/>
            <color indexed="81"/>
            <rFont val="Tahoma"/>
            <family val="2"/>
          </rPr>
          <t xml:space="preserve">Perd: 20 formateurs +10 chauff:420000 
transport participant:
200000*110=22 000 000/90=244 444
Collation:200000/jr *140=
28 000 000/140=200000
Carb:162 L x 10 DSx 10 000=16 200 000/90=180 000
Modules de format:50 000x 30= 6 500 000 /3=2 166 667
supports didact: 25 000/3=8333
Loc salle:  500 000/140=3571
Total:3 223 015
</t>
        </r>
      </text>
    </comment>
    <comment ref="O25" authorId="2" shapeId="0">
      <text>
        <r>
          <rPr>
            <sz val="9"/>
            <color indexed="81"/>
            <rFont val="Tahoma"/>
            <family val="2"/>
          </rPr>
          <t xml:space="preserve">Perd: 20 formateurs +10 chauff:420000 
transport participant:
200000*110=22 000 000/90=244 444
Collation:200000/jr *140=
28 000 000/140=200000
Carb:162 L x 10 DSx 10 000=16 200 000/90=180 000
Modules de format:50 000x 30= 6 500 000 /3=2 166 667
supports didact: 25 000/3=8333
Loc salle:  500 000/140=3571
Total:3 223 015
</t>
        </r>
      </text>
    </comment>
    <comment ref="U25" authorId="2" shapeId="0">
      <text>
        <r>
          <rPr>
            <sz val="9"/>
            <color indexed="81"/>
            <rFont val="Tahoma"/>
            <family val="2"/>
          </rPr>
          <t xml:space="preserve">Perd: 20 formateurs +10 chauff:420000 
transport participant:
200000*110=22 000 000/90=244 444
Collation:200000/jr *140=
28 000 000/140=200000
Carb:162 L x 10 DSx 10 000=16 200 000/90=180 000
Modules de format:50 000x 30= 6 500 000 /3=2 166 667
supports didact: 25 000/3=8333
Loc salle:  500 000/140=3571
Total:3 223 015
</t>
        </r>
      </text>
    </comment>
    <comment ref="AA25" authorId="2" shapeId="0">
      <text>
        <r>
          <rPr>
            <sz val="9"/>
            <color indexed="81"/>
            <rFont val="Tahoma"/>
            <family val="2"/>
          </rPr>
          <t xml:space="preserve">Perd: 20 formateurs +10 chauff:420000 
transport participant:
200000*110=22 000 000/90=244 444
Collation:200000/jr *140=
28 000 000/140=200000
Carb:162 L x 10 DSx 10 000=16 200 000/90=180 000
Modules de format:50 000x 30= 6 500 000 /3=2 166 667
supports didact: 25 000/3=8333
Loc salle:  500 000/140=3571
Total:3 223 015
</t>
        </r>
      </text>
    </comment>
    <comment ref="AG25" authorId="2" shapeId="0">
      <text>
        <r>
          <rPr>
            <sz val="9"/>
            <color indexed="81"/>
            <rFont val="Tahoma"/>
            <family val="2"/>
          </rPr>
          <t xml:space="preserve">Perd: 20 formateurs +10 chauff:420000 
transport participant:
200000*110=22 000 000/90=244 444
Collation:200000/jr *140=
28 000 000/140=200000
Carb:162 L x 10 DSx 10 000=16 200 000/90=180 000
Modules de format:50 000x 30= 6 500 000 /3=2 166 667
supports didact: 25 000/3=8333
Loc salle:  500 000/140=3571
Total:3 223 015
</t>
        </r>
      </text>
    </comment>
    <comment ref="I26" authorId="2" shapeId="0">
      <text>
        <r>
          <rPr>
            <sz val="9"/>
            <color indexed="81"/>
            <rFont val="Tahoma"/>
            <family val="2"/>
          </rPr>
          <t>Perd 110 enqueteurs :420 000
Carb motos:5L/jr x 110 x 10 000=5 500 000/110=50000
Supports forfait: 1 500 000 /330=4545
Total:474 545</t>
        </r>
      </text>
    </comment>
    <comment ref="O26" authorId="2" shapeId="0">
      <text>
        <r>
          <rPr>
            <sz val="9"/>
            <color indexed="81"/>
            <rFont val="Tahoma"/>
            <family val="2"/>
          </rPr>
          <t>Perd 110 enqueteurs :420 000
Carb motos:5L/jr x 110 x 10 000=5 500 000/110=50000
Supports forfait: 1 500 000 /330=4545
Total:474 545</t>
        </r>
      </text>
    </comment>
    <comment ref="U26" authorId="2" shapeId="0">
      <text>
        <r>
          <rPr>
            <sz val="9"/>
            <color indexed="81"/>
            <rFont val="Tahoma"/>
            <family val="2"/>
          </rPr>
          <t>Perd 110 enqueteurs :420 000
Carb motos:5L/jr x 110 x 10 000=5 500 000/110=50000
Supports forfait: 1 500 000 /330=4545
Total:474 545</t>
        </r>
      </text>
    </comment>
    <comment ref="AA26" authorId="2" shapeId="0">
      <text>
        <r>
          <rPr>
            <sz val="9"/>
            <color indexed="81"/>
            <rFont val="Tahoma"/>
            <family val="2"/>
          </rPr>
          <t>Perd 110 enqueteurs :420 000
Carb motos:5L/jr x 110 x 10 000=5 500 000/110=50000
Supports forfait: 1 500 000 /330=4545
Total:474 545</t>
        </r>
      </text>
    </comment>
    <comment ref="AG26" authorId="2" shapeId="0">
      <text>
        <r>
          <rPr>
            <sz val="9"/>
            <color indexed="81"/>
            <rFont val="Tahoma"/>
            <family val="2"/>
          </rPr>
          <t>Perd 110 enqueteurs :420 000
Carb motos:5L/jr x 110 x 10 000=5 500 000/110=50000
Supports forfait: 1 500 000 /330=4545
Total:474 545</t>
        </r>
      </text>
    </comment>
    <comment ref="I27" authorId="2" shapeId="0">
      <text>
        <r>
          <rPr>
            <sz val="9"/>
            <color indexed="81"/>
            <rFont val="Tahoma"/>
            <family val="2"/>
          </rPr>
          <t xml:space="preserve">frais transport national carb:162 L x 10 DSx 10 000=16 200 000
frais transport international:PM(DHL)
</t>
        </r>
      </text>
    </comment>
    <comment ref="O27" authorId="2" shapeId="0">
      <text>
        <r>
          <rPr>
            <sz val="9"/>
            <color indexed="81"/>
            <rFont val="Tahoma"/>
            <family val="2"/>
          </rPr>
          <t xml:space="preserve">frais transport national carb:162 L x 10 DSx 10 000=16 200 000
frais transport international:PM(DHL)
</t>
        </r>
      </text>
    </comment>
    <comment ref="U27" authorId="2" shapeId="0">
      <text>
        <r>
          <rPr>
            <sz val="9"/>
            <color indexed="81"/>
            <rFont val="Tahoma"/>
            <family val="2"/>
          </rPr>
          <t xml:space="preserve">frais transport national carb:162 L x 10 DSx 10 000=16 200 000
frais transport international:PM(DHL)
</t>
        </r>
      </text>
    </comment>
    <comment ref="AA27" authorId="2" shapeId="0">
      <text>
        <r>
          <rPr>
            <sz val="9"/>
            <color indexed="81"/>
            <rFont val="Tahoma"/>
            <family val="2"/>
          </rPr>
          <t xml:space="preserve">frais transport national carb:162 L x 10 DSx 10 000=16 200 000
frais transport international:PM(DHL)
</t>
        </r>
      </text>
    </comment>
    <comment ref="AG27" authorId="2" shapeId="0">
      <text>
        <r>
          <rPr>
            <sz val="9"/>
            <color indexed="81"/>
            <rFont val="Tahoma"/>
            <family val="2"/>
          </rPr>
          <t xml:space="preserve">frais transport national carb:162 L x 10 DSx 10 000=16 200 000
frais transport international:PM(DHL)
</t>
        </r>
      </text>
    </comment>
    <comment ref="I28" authorId="2" shapeId="0">
      <text>
        <r>
          <rPr>
            <b/>
            <sz val="9"/>
            <color indexed="81"/>
            <rFont val="Tahoma"/>
            <family val="2"/>
          </rPr>
          <t xml:space="preserve">
</t>
        </r>
        <r>
          <rPr>
            <sz val="9"/>
            <color indexed="81"/>
            <rFont val="Tahoma"/>
            <family val="2"/>
          </rPr>
          <t>perdiem 2 format,27participant et 1 Chauffeur: 420000
support: 25000/5=5000
transport: 600000/5=120000
location salle = 1 000 000/30=33333
total =578333</t>
        </r>
      </text>
    </comment>
    <comment ref="J28" authorId="2" shapeId="0">
      <text>
        <r>
          <rPr>
            <sz val="9"/>
            <color indexed="81"/>
            <rFont val="Tahoma"/>
            <family val="2"/>
          </rPr>
          <t xml:space="preserve">30 Participants par session (27 Paarticipants,2 formateurs et 1chauffeur)
</t>
        </r>
      </text>
    </comment>
    <comment ref="M28" authorId="2" shapeId="0">
      <text>
        <r>
          <rPr>
            <sz val="9"/>
            <color indexed="81"/>
            <rFont val="Tahoma"/>
            <family val="2"/>
          </rPr>
          <t xml:space="preserve">30 sessions de formation
</t>
        </r>
      </text>
    </comment>
    <comment ref="O28" authorId="2" shapeId="0">
      <text>
        <r>
          <rPr>
            <b/>
            <sz val="9"/>
            <color indexed="81"/>
            <rFont val="Tahoma"/>
            <family val="2"/>
          </rPr>
          <t xml:space="preserve">
</t>
        </r>
        <r>
          <rPr>
            <sz val="9"/>
            <color indexed="81"/>
            <rFont val="Tahoma"/>
            <family val="2"/>
          </rPr>
          <t>perdiem 2 format,27participant et 1 Chauffeur: 420000
support: 25000/5=5000
transport: 600000/5=120000
location salle = 1 000 000/30=33333
total =578333</t>
        </r>
      </text>
    </comment>
    <comment ref="P28" authorId="2" shapeId="0">
      <text>
        <r>
          <rPr>
            <sz val="9"/>
            <color indexed="81"/>
            <rFont val="Tahoma"/>
            <family val="2"/>
          </rPr>
          <t xml:space="preserve">30 Participants par session (27 Paarticipants,2 formateurs et 1chauffeur)
</t>
        </r>
      </text>
    </comment>
    <comment ref="S28" authorId="2" shapeId="0">
      <text>
        <r>
          <rPr>
            <sz val="9"/>
            <color indexed="81"/>
            <rFont val="Tahoma"/>
            <family val="2"/>
          </rPr>
          <t xml:space="preserve">30 sessions de formation
</t>
        </r>
      </text>
    </comment>
    <comment ref="U28" authorId="2" shapeId="0">
      <text>
        <r>
          <rPr>
            <b/>
            <sz val="9"/>
            <color indexed="81"/>
            <rFont val="Tahoma"/>
            <family val="2"/>
          </rPr>
          <t xml:space="preserve">
</t>
        </r>
        <r>
          <rPr>
            <sz val="9"/>
            <color indexed="81"/>
            <rFont val="Tahoma"/>
            <family val="2"/>
          </rPr>
          <t>perdiem 2 format,27participant et 1 Chauffeur: 420000
support: 25000/5=5000
transport: 600000/5=120000
location salle = 1 000 000/30=33333
total =578333</t>
        </r>
      </text>
    </comment>
    <comment ref="V28" authorId="2" shapeId="0">
      <text>
        <r>
          <rPr>
            <sz val="9"/>
            <color indexed="81"/>
            <rFont val="Tahoma"/>
            <family val="2"/>
          </rPr>
          <t xml:space="preserve">30 Participants par session (27 Paarticipants,2 formateurs et 1chauffeur)
</t>
        </r>
      </text>
    </comment>
    <comment ref="Y28" authorId="2" shapeId="0">
      <text>
        <r>
          <rPr>
            <sz val="9"/>
            <color indexed="81"/>
            <rFont val="Tahoma"/>
            <family val="2"/>
          </rPr>
          <t xml:space="preserve">30 sessions de formation
</t>
        </r>
      </text>
    </comment>
    <comment ref="AA28" authorId="2" shapeId="0">
      <text>
        <r>
          <rPr>
            <b/>
            <sz val="9"/>
            <color indexed="81"/>
            <rFont val="Tahoma"/>
            <family val="2"/>
          </rPr>
          <t xml:space="preserve">
</t>
        </r>
        <r>
          <rPr>
            <sz val="9"/>
            <color indexed="81"/>
            <rFont val="Tahoma"/>
            <family val="2"/>
          </rPr>
          <t>perdiem 2 format,27participant et 1 Chauffeur: 420000
support: 25000/5=5000
transport: 600000/5=120000
location salle = 1 000 000/30=33333
total =578333</t>
        </r>
      </text>
    </comment>
    <comment ref="AB28" authorId="2" shapeId="0">
      <text>
        <r>
          <rPr>
            <sz val="9"/>
            <color indexed="81"/>
            <rFont val="Tahoma"/>
            <family val="2"/>
          </rPr>
          <t xml:space="preserve">30 Participants par session (27 Paarticipants,2 formateurs et 1chauffeur)
</t>
        </r>
      </text>
    </comment>
    <comment ref="AE28" authorId="2" shapeId="0">
      <text>
        <r>
          <rPr>
            <sz val="9"/>
            <color indexed="81"/>
            <rFont val="Tahoma"/>
            <family val="2"/>
          </rPr>
          <t xml:space="preserve">30 sessions de formation
</t>
        </r>
      </text>
    </comment>
    <comment ref="AG28" authorId="2" shapeId="0">
      <text>
        <r>
          <rPr>
            <b/>
            <sz val="9"/>
            <color indexed="81"/>
            <rFont val="Tahoma"/>
            <family val="2"/>
          </rPr>
          <t xml:space="preserve">
</t>
        </r>
        <r>
          <rPr>
            <sz val="9"/>
            <color indexed="81"/>
            <rFont val="Tahoma"/>
            <family val="2"/>
          </rPr>
          <t>perdiem 2 format,27participant et 1 Chauffeur: 420000
support: 25000/5=5000
transport: 600000/5=120000
location salle = 1 000 000/30=33333
total =578333</t>
        </r>
      </text>
    </comment>
    <comment ref="AH28" authorId="2" shapeId="0">
      <text>
        <r>
          <rPr>
            <sz val="9"/>
            <color indexed="81"/>
            <rFont val="Tahoma"/>
            <family val="2"/>
          </rPr>
          <t xml:space="preserve">30 Participants par session (27 Paarticipants,2 formateurs et 1chauffeur)
</t>
        </r>
      </text>
    </comment>
    <comment ref="AK28" authorId="2" shapeId="0">
      <text>
        <r>
          <rPr>
            <sz val="9"/>
            <color indexed="81"/>
            <rFont val="Tahoma"/>
            <family val="2"/>
          </rPr>
          <t xml:space="preserve">30 sessions de formation
</t>
        </r>
      </text>
    </comment>
    <comment ref="I29" authorId="2" shapeId="0">
      <text>
        <r>
          <rPr>
            <sz val="9"/>
            <color indexed="81"/>
            <rFont val="Tahoma"/>
            <family val="2"/>
          </rPr>
          <t xml:space="preserve">Perd 30 Participants+ 4 formateurs +2 chauf:420000 
transport participant:
500000*36=18 000 000/5=3 600 000
Carb:162 L x 2 Véhiculesx 10 000=3 240 000/150=21600
Modules de format:50 000x 30= 1 500 000 /5=300000
supports didact: 25 000/5=5000
Loc salle:  500 000/36=13899
Total:4360499
</t>
        </r>
      </text>
    </comment>
    <comment ref="O29" authorId="2" shapeId="0">
      <text>
        <r>
          <rPr>
            <sz val="9"/>
            <color indexed="81"/>
            <rFont val="Tahoma"/>
            <family val="2"/>
          </rPr>
          <t xml:space="preserve">Perd 30 Participants+ 4 formateurs +2 chauf:420000 
transport participant:
500000*36=18 000 000/5=3 600 000
Carb:162 L x 2 Véhiculesx 10 000=3 240 000/150=21600
Modules de format:50 000x 30= 1 500 000 /5=300000
supports didact: 25 000/5=5000
Loc salle:  500 000/36=13899
Total:4360499
</t>
        </r>
      </text>
    </comment>
    <comment ref="U29" authorId="2" shapeId="0">
      <text>
        <r>
          <rPr>
            <sz val="9"/>
            <color indexed="81"/>
            <rFont val="Tahoma"/>
            <family val="2"/>
          </rPr>
          <t xml:space="preserve">Perd 30 Participants+ 4 formateurs +2 chauf:420000 
transport participant:
500000*36=18 000 000/5=3 600 000
Carb:162 L x 2 Véhiculesx 10 000=3 240 000/150=21600
Modules de format:50 000x 30= 1 500 000 /5=300000
supports didact: 25 000/5=5000
Loc salle:  500 000/36=13899
Total:4360499
</t>
        </r>
      </text>
    </comment>
    <comment ref="AA29" authorId="2" shapeId="0">
      <text>
        <r>
          <rPr>
            <sz val="9"/>
            <color indexed="81"/>
            <rFont val="Tahoma"/>
            <family val="2"/>
          </rPr>
          <t xml:space="preserve">Perd 30 Participants+ 4 formateurs +2 chauf:420000 
transport participant:
500000*36=18 000 000/5=3 600 000
Carb:162 L x 2 Véhiculesx 10 000=3 240 000/150=21600
Modules de format:50 000x 30= 1 500 000 /5=300000
supports didact: 25 000/5=5000
Loc salle:  500 000/36=13899
Total:4360499
</t>
        </r>
      </text>
    </comment>
    <comment ref="AG29" authorId="2" shapeId="0">
      <text>
        <r>
          <rPr>
            <sz val="9"/>
            <color indexed="81"/>
            <rFont val="Tahoma"/>
            <family val="2"/>
          </rPr>
          <t xml:space="preserve">Perd 30 Participants+ 4 formateurs +2 chauf:420000 
transport participant:
500000*36=18 000 000/5=3 600 000
Carb:162 L x 2 Véhiculesx 10 000=3 240 000/150=21600
Modules de format:50 000x 30= 1 500 000 /5=300000
supports didact: 25 000/5=5000
Loc salle:  500 000/36=13899
Total:4360499
</t>
        </r>
      </text>
    </comment>
    <comment ref="I30" authorId="2" shapeId="0">
      <text>
        <r>
          <rPr>
            <b/>
            <sz val="9"/>
            <color indexed="81"/>
            <rFont val="Tahoma"/>
            <family val="2"/>
          </rPr>
          <t xml:space="preserve">
</t>
        </r>
        <r>
          <rPr>
            <sz val="9"/>
            <color indexed="81"/>
            <rFont val="Tahoma"/>
            <family val="2"/>
          </rPr>
          <t>perdiem 2 format,10participant et 1 Chauffeur: 420000
support: 25000/5=5000
transport: 600000/5=120000
location salle = 1 000 000/13=76924
total =621924</t>
        </r>
      </text>
    </comment>
    <comment ref="J30" authorId="2" shapeId="0">
      <text>
        <r>
          <rPr>
            <sz val="9"/>
            <color indexed="81"/>
            <rFont val="Tahoma"/>
            <family val="2"/>
          </rPr>
          <t xml:space="preserve">13 Participants :2formateurs ,10 particpants et 1chauffeur
</t>
        </r>
      </text>
    </comment>
    <comment ref="O30" authorId="2" shapeId="0">
      <text>
        <r>
          <rPr>
            <b/>
            <sz val="9"/>
            <color indexed="81"/>
            <rFont val="Tahoma"/>
            <family val="2"/>
          </rPr>
          <t xml:space="preserve">
</t>
        </r>
        <r>
          <rPr>
            <sz val="9"/>
            <color indexed="81"/>
            <rFont val="Tahoma"/>
            <family val="2"/>
          </rPr>
          <t>perdiem 2 format,10participant et 1 Chauffeur: 420000
support: 25000/5=5000
transport: 600000/5=120000
location salle = 1 000 000/13=76924
total =621924</t>
        </r>
      </text>
    </comment>
    <comment ref="P30" authorId="2" shapeId="0">
      <text>
        <r>
          <rPr>
            <sz val="9"/>
            <color indexed="81"/>
            <rFont val="Tahoma"/>
            <family val="2"/>
          </rPr>
          <t xml:space="preserve">13 Participants :2formateurs ,10 particpants et 1chauffeur
</t>
        </r>
      </text>
    </comment>
    <comment ref="U30" authorId="2" shapeId="0">
      <text>
        <r>
          <rPr>
            <b/>
            <sz val="9"/>
            <color indexed="81"/>
            <rFont val="Tahoma"/>
            <family val="2"/>
          </rPr>
          <t xml:space="preserve">
</t>
        </r>
        <r>
          <rPr>
            <sz val="9"/>
            <color indexed="81"/>
            <rFont val="Tahoma"/>
            <family val="2"/>
          </rPr>
          <t>perdiem 2 format,10participant et 1 Chauffeur: 420000
support: 25000/5=5000
transport: 600000/5=120000
location salle = 1 000 000/13=76924
total =621924</t>
        </r>
      </text>
    </comment>
    <comment ref="V30" authorId="2" shapeId="0">
      <text>
        <r>
          <rPr>
            <sz val="9"/>
            <color indexed="81"/>
            <rFont val="Tahoma"/>
            <family val="2"/>
          </rPr>
          <t xml:space="preserve">13 Participants :2formateurs ,10 particpants et 1chauffeur
</t>
        </r>
      </text>
    </comment>
    <comment ref="AA30" authorId="2" shapeId="0">
      <text>
        <r>
          <rPr>
            <b/>
            <sz val="9"/>
            <color indexed="81"/>
            <rFont val="Tahoma"/>
            <family val="2"/>
          </rPr>
          <t xml:space="preserve">
</t>
        </r>
        <r>
          <rPr>
            <sz val="9"/>
            <color indexed="81"/>
            <rFont val="Tahoma"/>
            <family val="2"/>
          </rPr>
          <t>perdiem 2 format,10participant et 1 Chauffeur: 420000
support: 25000/5=5000
transport: 600000/5=120000
location salle = 1 000 000/13=76924
total =621924</t>
        </r>
      </text>
    </comment>
    <comment ref="AB30" authorId="2" shapeId="0">
      <text>
        <r>
          <rPr>
            <sz val="9"/>
            <color indexed="81"/>
            <rFont val="Tahoma"/>
            <family val="2"/>
          </rPr>
          <t xml:space="preserve">13 Participants :2formateurs ,10 particpants et 1chauffeur
</t>
        </r>
      </text>
    </comment>
    <comment ref="AG30" authorId="2" shapeId="0">
      <text>
        <r>
          <rPr>
            <b/>
            <sz val="9"/>
            <color indexed="81"/>
            <rFont val="Tahoma"/>
            <family val="2"/>
          </rPr>
          <t xml:space="preserve">
</t>
        </r>
        <r>
          <rPr>
            <sz val="9"/>
            <color indexed="81"/>
            <rFont val="Tahoma"/>
            <family val="2"/>
          </rPr>
          <t>perdiem 2 format,10participant et 1 Chauffeur: 420000
support: 25000/5=5000
transport: 600000/5=120000
location salle = 1 000 000/13=76924
total =621924</t>
        </r>
      </text>
    </comment>
    <comment ref="AH30" authorId="2" shapeId="0">
      <text>
        <r>
          <rPr>
            <sz val="9"/>
            <color indexed="81"/>
            <rFont val="Tahoma"/>
            <family val="2"/>
          </rPr>
          <t xml:space="preserve">13 Participants :2formateurs ,10 particpants et 1chauffeur
</t>
        </r>
      </text>
    </comment>
    <comment ref="I31" authorId="2" shapeId="0">
      <text>
        <r>
          <rPr>
            <b/>
            <sz val="9"/>
            <color indexed="81"/>
            <rFont val="Tahoma"/>
            <family val="2"/>
          </rPr>
          <t xml:space="preserve">
</t>
        </r>
        <r>
          <rPr>
            <sz val="9"/>
            <color indexed="81"/>
            <rFont val="Tahoma"/>
            <family val="2"/>
          </rPr>
          <t>perdiem/20 Participants /1chauffeurs et 2 formateurs:420000
support:25000/7j=3571
module:50000/7j=7143
transport: 200000/7j=28571
salle/j:1 000 000/23particp=43478
total = 502763</t>
        </r>
      </text>
    </comment>
    <comment ref="O31" authorId="2" shapeId="0">
      <text>
        <r>
          <rPr>
            <b/>
            <sz val="9"/>
            <color indexed="81"/>
            <rFont val="Tahoma"/>
            <family val="2"/>
          </rPr>
          <t xml:space="preserve">
</t>
        </r>
        <r>
          <rPr>
            <sz val="9"/>
            <color indexed="81"/>
            <rFont val="Tahoma"/>
            <family val="2"/>
          </rPr>
          <t>perdiem/20 Participants /1chauffeurs et 2 formateurs:420000
support:25000/7j=3571
module:50000/7j=7143
transport: 200000/7j=28571
salle/j:1 000 000/23particp=43478
total = 502763</t>
        </r>
      </text>
    </comment>
    <comment ref="U31" authorId="2" shapeId="0">
      <text>
        <r>
          <rPr>
            <b/>
            <sz val="9"/>
            <color indexed="81"/>
            <rFont val="Tahoma"/>
            <family val="2"/>
          </rPr>
          <t xml:space="preserve">
</t>
        </r>
        <r>
          <rPr>
            <sz val="9"/>
            <color indexed="81"/>
            <rFont val="Tahoma"/>
            <family val="2"/>
          </rPr>
          <t>perdiem/20 Participants /1chauffeurs et 2 formateurs:420000
support:25000/7j=3571
module:50000/7j=7143
transport: 200000/7j=28571
salle/j:1 000 000/23particp=43478
total = 502763</t>
        </r>
      </text>
    </comment>
    <comment ref="AA31" authorId="2" shapeId="0">
      <text>
        <r>
          <rPr>
            <b/>
            <sz val="9"/>
            <color indexed="81"/>
            <rFont val="Tahoma"/>
            <family val="2"/>
          </rPr>
          <t xml:space="preserve">
</t>
        </r>
        <r>
          <rPr>
            <sz val="9"/>
            <color indexed="81"/>
            <rFont val="Tahoma"/>
            <family val="2"/>
          </rPr>
          <t>perdiem/20 Participants /1chauffeurs et 2 formateurs:420000
support:25000/7j=3571
module:50000/7j=7143
transport: 200000/7j=28571
salle/j:1 000 000/23particp=43478
total = 502763</t>
        </r>
      </text>
    </comment>
    <comment ref="AG31" authorId="2" shapeId="0">
      <text>
        <r>
          <rPr>
            <b/>
            <sz val="9"/>
            <color indexed="81"/>
            <rFont val="Tahoma"/>
            <family val="2"/>
          </rPr>
          <t xml:space="preserve">
</t>
        </r>
        <r>
          <rPr>
            <sz val="9"/>
            <color indexed="81"/>
            <rFont val="Tahoma"/>
            <family val="2"/>
          </rPr>
          <t>perdiem/20 Participants /1chauffeurs et 2 formateurs:420000
support:25000/7j=3571
module:50000/7j=7143
transport: 200000/7j=28571
salle/j:1 000 000/23particp=43478
total = 502763</t>
        </r>
      </text>
    </comment>
    <comment ref="I32" authorId="2" shapeId="0">
      <text>
        <r>
          <rPr>
            <b/>
            <sz val="9"/>
            <color indexed="81"/>
            <rFont val="Tahoma"/>
            <family val="2"/>
          </rPr>
          <t xml:space="preserve">
</t>
        </r>
        <r>
          <rPr>
            <sz val="9"/>
            <color indexed="81"/>
            <rFont val="Tahoma"/>
            <family val="2"/>
          </rPr>
          <t>perdiem/08 Participants /1chauffeurs et 2 formateurs:420000
support:25000/7j=3571
module:50000/7j=7143
transport:600000/7j=85714
salle/j:1 000 000/11particp=90909
total = 607337</t>
        </r>
      </text>
    </comment>
    <comment ref="O32" authorId="2" shapeId="0">
      <text>
        <r>
          <rPr>
            <b/>
            <sz val="9"/>
            <color indexed="81"/>
            <rFont val="Tahoma"/>
            <family val="2"/>
          </rPr>
          <t xml:space="preserve">
</t>
        </r>
        <r>
          <rPr>
            <sz val="9"/>
            <color indexed="81"/>
            <rFont val="Tahoma"/>
            <family val="2"/>
          </rPr>
          <t>perdiem/08 Participants /1chauffeurs et 2 formateurs:420000
support:25000/7j=3571
module:50000/7j=7143
transport:600000/7j=85714
salle/j:1 000 000/11particp=90909
total = 607337</t>
        </r>
      </text>
    </comment>
    <comment ref="U32" authorId="2" shapeId="0">
      <text>
        <r>
          <rPr>
            <b/>
            <sz val="9"/>
            <color indexed="81"/>
            <rFont val="Tahoma"/>
            <family val="2"/>
          </rPr>
          <t xml:space="preserve">
</t>
        </r>
        <r>
          <rPr>
            <sz val="9"/>
            <color indexed="81"/>
            <rFont val="Tahoma"/>
            <family val="2"/>
          </rPr>
          <t>perdiem/08 Participants /1chauffeurs et 2 formateurs:420000
support:25000/7j=3571
module:50000/7j=7143
transport:600000/7j=85714
salle/j:1 000 000/11particp=90909
total = 607337</t>
        </r>
      </text>
    </comment>
    <comment ref="AA32" authorId="2" shapeId="0">
      <text>
        <r>
          <rPr>
            <b/>
            <sz val="9"/>
            <color indexed="81"/>
            <rFont val="Tahoma"/>
            <family val="2"/>
          </rPr>
          <t xml:space="preserve">
</t>
        </r>
        <r>
          <rPr>
            <sz val="9"/>
            <color indexed="81"/>
            <rFont val="Tahoma"/>
            <family val="2"/>
          </rPr>
          <t>perdiem/08 Participants /1chauffeurs et 2 formateurs:420000
support:25000/7j=3571
module:50000/7j=7143
transport:600000/7j=85714
salle/j:1 000 000/11particp=90909
total = 607337</t>
        </r>
      </text>
    </comment>
    <comment ref="AG32" authorId="2" shapeId="0">
      <text>
        <r>
          <rPr>
            <b/>
            <sz val="9"/>
            <color indexed="81"/>
            <rFont val="Tahoma"/>
            <family val="2"/>
          </rPr>
          <t xml:space="preserve">
</t>
        </r>
        <r>
          <rPr>
            <sz val="9"/>
            <color indexed="81"/>
            <rFont val="Tahoma"/>
            <family val="2"/>
          </rPr>
          <t>perdiem/08 Participants /1chauffeurs et 2 formateurs:420000
support:25000/7j=3571
module:50000/7j=7143
transport:600000/7j=85714
salle/j:1 000 000/11particp=90909
total = 607337</t>
        </r>
      </text>
    </comment>
    <comment ref="I33" authorId="0" shapeId="0">
      <text>
        <r>
          <rPr>
            <b/>
            <sz val="9"/>
            <color indexed="81"/>
            <rFont val="Tahoma"/>
            <family val="2"/>
          </rPr>
          <t>Abdoul A.. Diallo:</t>
        </r>
        <r>
          <rPr>
            <sz val="9"/>
            <color indexed="81"/>
            <rFont val="Tahoma"/>
            <family val="2"/>
          </rPr>
          <t xml:space="preserve">
Perdiem (2x4 form + 4 chauf+48 part) : 420 000  
Carburant form: 100Lx(4+34)vehx10000 = 38 000 000/60x5 = 126 667
TOTAL= 546 667 
</t>
        </r>
      </text>
    </comment>
    <comment ref="O33" authorId="0" shapeId="0">
      <text>
        <r>
          <rPr>
            <b/>
            <sz val="9"/>
            <color indexed="81"/>
            <rFont val="Tahoma"/>
            <family val="2"/>
          </rPr>
          <t>Abdoul A.. Diallo:</t>
        </r>
        <r>
          <rPr>
            <sz val="9"/>
            <color indexed="81"/>
            <rFont val="Tahoma"/>
            <family val="2"/>
          </rPr>
          <t xml:space="preserve">
Perdiem (2x4 form + 4 chauf+48 part) : 420 000  
Carburant form: 100Lx(4+34)vehx10000 = 38 000 000/60x5 = 126 667
TOTAL= 546 667 
</t>
        </r>
      </text>
    </comment>
    <comment ref="U33" authorId="0" shapeId="0">
      <text>
        <r>
          <rPr>
            <b/>
            <sz val="9"/>
            <color indexed="81"/>
            <rFont val="Tahoma"/>
            <family val="2"/>
          </rPr>
          <t>Abdoul A.. Diallo:</t>
        </r>
        <r>
          <rPr>
            <sz val="9"/>
            <color indexed="81"/>
            <rFont val="Tahoma"/>
            <family val="2"/>
          </rPr>
          <t xml:space="preserve">
Perdiem (2x4 form + 4 chauf+48 part) : 420 000  
Carburant form: 100Lx(4+34)vehx10000 = 38 000 000/60x5 = 126 667
TOTAL= 546 667 
</t>
        </r>
      </text>
    </comment>
    <comment ref="AA33" authorId="0" shapeId="0">
      <text>
        <r>
          <rPr>
            <b/>
            <sz val="9"/>
            <color indexed="81"/>
            <rFont val="Tahoma"/>
            <family val="2"/>
          </rPr>
          <t>Abdoul A.. Diallo:</t>
        </r>
        <r>
          <rPr>
            <sz val="9"/>
            <color indexed="81"/>
            <rFont val="Tahoma"/>
            <family val="2"/>
          </rPr>
          <t xml:space="preserve">
Perdiem (2x4 form + 4 chauf+48 part) : 420 000  
Carburant form: 100Lx(4+34)vehx10000 = 38 000 000/60x5 = 126 667
TOTAL= 546 667 
</t>
        </r>
      </text>
    </comment>
    <comment ref="AG33" authorId="0" shapeId="0">
      <text>
        <r>
          <rPr>
            <b/>
            <sz val="9"/>
            <color indexed="81"/>
            <rFont val="Tahoma"/>
            <family val="2"/>
          </rPr>
          <t>Abdoul A.. Diallo:</t>
        </r>
        <r>
          <rPr>
            <sz val="9"/>
            <color indexed="81"/>
            <rFont val="Tahoma"/>
            <family val="2"/>
          </rPr>
          <t xml:space="preserve">
Perdiem (2x4 form + 4 chauf+48 part) : 420 000  
Carburant form: 100Lx(4+34)vehx10000 = 38 000 000/60x5 = 126 667
TOTAL= 546 667 
</t>
        </r>
      </text>
    </comment>
    <comment ref="I34" authorId="2" shapeId="0">
      <text>
        <r>
          <rPr>
            <sz val="9"/>
            <color indexed="81"/>
            <rFont val="Tahoma"/>
            <family val="2"/>
          </rPr>
          <t xml:space="preserve">
carb(540 000) /3 =180000
locat véh(700 000) perd(420 000)
Total:13000000</t>
        </r>
      </text>
    </comment>
    <comment ref="J34" authorId="2" shapeId="0">
      <text>
        <r>
          <rPr>
            <b/>
            <sz val="9"/>
            <color indexed="81"/>
            <rFont val="Tahoma"/>
            <family val="2"/>
          </rPr>
          <t>2 Personnes (convoyeur et chauf)</t>
        </r>
      </text>
    </comment>
    <comment ref="K34" authorId="2" shapeId="0">
      <text>
        <r>
          <rPr>
            <sz val="9"/>
            <color indexed="81"/>
            <rFont val="Tahoma"/>
            <family val="2"/>
          </rPr>
          <t>durée mission 3jours</t>
        </r>
      </text>
    </comment>
    <comment ref="O34" authorId="2" shapeId="0">
      <text>
        <r>
          <rPr>
            <sz val="9"/>
            <color indexed="81"/>
            <rFont val="Tahoma"/>
            <family val="2"/>
          </rPr>
          <t xml:space="preserve">
carb(540 000) /3 =180000
locat véh(700 000) perd(420 000)
Total:13000000</t>
        </r>
      </text>
    </comment>
    <comment ref="P34" authorId="2" shapeId="0">
      <text>
        <r>
          <rPr>
            <b/>
            <sz val="9"/>
            <color indexed="81"/>
            <rFont val="Tahoma"/>
            <family val="2"/>
          </rPr>
          <t>2 Personnes (convoyeur et chauf)</t>
        </r>
      </text>
    </comment>
    <comment ref="Q34" authorId="2" shapeId="0">
      <text>
        <r>
          <rPr>
            <sz val="9"/>
            <color indexed="81"/>
            <rFont val="Tahoma"/>
            <family val="2"/>
          </rPr>
          <t>durée mission 3jours</t>
        </r>
      </text>
    </comment>
    <comment ref="U34" authorId="2" shapeId="0">
      <text>
        <r>
          <rPr>
            <sz val="9"/>
            <color indexed="81"/>
            <rFont val="Tahoma"/>
            <family val="2"/>
          </rPr>
          <t xml:space="preserve">
carb(540 000) /3 =180000
locat véh(700 000) perd(420 000)
Total:13000000</t>
        </r>
      </text>
    </comment>
    <comment ref="V34" authorId="2" shapeId="0">
      <text>
        <r>
          <rPr>
            <b/>
            <sz val="9"/>
            <color indexed="81"/>
            <rFont val="Tahoma"/>
            <family val="2"/>
          </rPr>
          <t>2 Personnes (convoyeur et chauf)</t>
        </r>
      </text>
    </comment>
    <comment ref="W34" authorId="2" shapeId="0">
      <text>
        <r>
          <rPr>
            <sz val="9"/>
            <color indexed="81"/>
            <rFont val="Tahoma"/>
            <family val="2"/>
          </rPr>
          <t>durée mission 3jours</t>
        </r>
      </text>
    </comment>
    <comment ref="AA34" authorId="2" shapeId="0">
      <text>
        <r>
          <rPr>
            <sz val="9"/>
            <color indexed="81"/>
            <rFont val="Tahoma"/>
            <family val="2"/>
          </rPr>
          <t xml:space="preserve">
carb(540 000) /3 =180000
locat véh(700 000) perd(420 000)
Total:13000000</t>
        </r>
      </text>
    </comment>
    <comment ref="AB34" authorId="2" shapeId="0">
      <text>
        <r>
          <rPr>
            <b/>
            <sz val="9"/>
            <color indexed="81"/>
            <rFont val="Tahoma"/>
            <family val="2"/>
          </rPr>
          <t>2 Personnes (convoyeur et chauf)</t>
        </r>
      </text>
    </comment>
    <comment ref="AC34" authorId="2" shapeId="0">
      <text>
        <r>
          <rPr>
            <sz val="9"/>
            <color indexed="81"/>
            <rFont val="Tahoma"/>
            <family val="2"/>
          </rPr>
          <t>durée mission 3jours</t>
        </r>
      </text>
    </comment>
    <comment ref="AG34" authorId="2" shapeId="0">
      <text>
        <r>
          <rPr>
            <sz val="9"/>
            <color indexed="81"/>
            <rFont val="Tahoma"/>
            <family val="2"/>
          </rPr>
          <t xml:space="preserve">
carb(540 000) /3 =180000
locat véh(700 000) perd(420 000)
Total:13000000</t>
        </r>
      </text>
    </comment>
    <comment ref="AH34" authorId="2" shapeId="0">
      <text>
        <r>
          <rPr>
            <b/>
            <sz val="9"/>
            <color indexed="81"/>
            <rFont val="Tahoma"/>
            <family val="2"/>
          </rPr>
          <t>2 Personnes (convoyeur et chauf)</t>
        </r>
      </text>
    </comment>
    <comment ref="AI34" authorId="2" shapeId="0">
      <text>
        <r>
          <rPr>
            <sz val="9"/>
            <color indexed="81"/>
            <rFont val="Tahoma"/>
            <family val="2"/>
          </rPr>
          <t>durée mission 3jours</t>
        </r>
      </text>
    </comment>
    <comment ref="I35" authorId="2" shapeId="0">
      <text>
        <r>
          <rPr>
            <sz val="9"/>
            <color indexed="81"/>
            <rFont val="Tahoma"/>
            <family val="2"/>
          </rPr>
          <t xml:space="preserve">
carb : 2790000 GNF
locat veh : 700 000
manut : 1 000 000/20=5000
per diem : 840 000
Total:4 335 000</t>
        </r>
      </text>
    </comment>
    <comment ref="K35" authorId="2" shapeId="0">
      <text>
        <r>
          <rPr>
            <sz val="9"/>
            <color indexed="81"/>
            <rFont val="Tahoma"/>
            <family val="2"/>
          </rPr>
          <t xml:space="preserve">durée mission 20jours
</t>
        </r>
      </text>
    </comment>
    <comment ref="O35" authorId="2" shapeId="0">
      <text>
        <r>
          <rPr>
            <sz val="9"/>
            <color indexed="81"/>
            <rFont val="Tahoma"/>
            <family val="2"/>
          </rPr>
          <t xml:space="preserve">
carb : 2790000 GNF
locat veh : 700 000
manut : 1 000 000/20=5000
per diem : 840 000
Total:4 335 000</t>
        </r>
      </text>
    </comment>
    <comment ref="Q35" authorId="2" shapeId="0">
      <text>
        <r>
          <rPr>
            <sz val="9"/>
            <color indexed="81"/>
            <rFont val="Tahoma"/>
            <family val="2"/>
          </rPr>
          <t xml:space="preserve">durée mission 20jours
</t>
        </r>
      </text>
    </comment>
    <comment ref="U35" authorId="2" shapeId="0">
      <text>
        <r>
          <rPr>
            <sz val="9"/>
            <color indexed="81"/>
            <rFont val="Tahoma"/>
            <family val="2"/>
          </rPr>
          <t xml:space="preserve">
carb : 2790000 GNF
locat veh : 700 000
manut : 1 000 000/20=5000
per diem : 840 000
Total:4 335 000</t>
        </r>
      </text>
    </comment>
    <comment ref="W35" authorId="2" shapeId="0">
      <text>
        <r>
          <rPr>
            <sz val="9"/>
            <color indexed="81"/>
            <rFont val="Tahoma"/>
            <family val="2"/>
          </rPr>
          <t xml:space="preserve">durée mission 20jours
</t>
        </r>
      </text>
    </comment>
    <comment ref="AA35" authorId="2" shapeId="0">
      <text>
        <r>
          <rPr>
            <sz val="9"/>
            <color indexed="81"/>
            <rFont val="Tahoma"/>
            <family val="2"/>
          </rPr>
          <t xml:space="preserve">
carb : 2790000 GNF
locat veh : 700 000
manut : 1 000 000/20=5000
per diem : 840 000
Total:4 335 000</t>
        </r>
      </text>
    </comment>
    <comment ref="AC35" authorId="2" shapeId="0">
      <text>
        <r>
          <rPr>
            <sz val="9"/>
            <color indexed="81"/>
            <rFont val="Tahoma"/>
            <family val="2"/>
          </rPr>
          <t xml:space="preserve">durée mission 20jours
</t>
        </r>
      </text>
    </comment>
    <comment ref="AG35" authorId="2" shapeId="0">
      <text>
        <r>
          <rPr>
            <sz val="9"/>
            <color indexed="81"/>
            <rFont val="Tahoma"/>
            <family val="2"/>
          </rPr>
          <t xml:space="preserve">
carb : 2790000 GNF
locat veh : 700 000
manut : 1 000 000/20=5000
per diem : 840 000
Total:4 335 000</t>
        </r>
      </text>
    </comment>
    <comment ref="AI35" authorId="2" shapeId="0">
      <text>
        <r>
          <rPr>
            <sz val="9"/>
            <color indexed="81"/>
            <rFont val="Tahoma"/>
            <family val="2"/>
          </rPr>
          <t xml:space="preserve">durée mission 20jours
</t>
        </r>
      </text>
    </comment>
    <comment ref="I36" authorId="2" shapeId="0">
      <text>
        <r>
          <rPr>
            <sz val="9"/>
            <color indexed="81"/>
            <rFont val="Tahoma"/>
            <family val="2"/>
          </rPr>
          <t xml:space="preserve">
Denrees/1malade/30j: 
 1 650 000 
</t>
        </r>
        <r>
          <rPr>
            <b/>
            <sz val="9"/>
            <color indexed="81"/>
            <rFont val="Tahoma"/>
            <family val="2"/>
          </rPr>
          <t xml:space="preserve"> </t>
        </r>
      </text>
    </comment>
    <comment ref="J36" authorId="2" shapeId="0">
      <text>
        <r>
          <rPr>
            <sz val="9"/>
            <color indexed="81"/>
            <rFont val="Tahoma"/>
            <family val="2"/>
          </rPr>
          <t xml:space="preserve">
Total malade pour les 4 centres: 400</t>
        </r>
      </text>
    </comment>
    <comment ref="K36" authorId="2" shapeId="0">
      <text>
        <r>
          <rPr>
            <sz val="9"/>
            <color indexed="81"/>
            <rFont val="Tahoma"/>
            <family val="2"/>
          </rPr>
          <t xml:space="preserve">
Total mois: 12</t>
        </r>
      </text>
    </comment>
    <comment ref="O36" authorId="2" shapeId="0">
      <text>
        <r>
          <rPr>
            <sz val="9"/>
            <color indexed="81"/>
            <rFont val="Tahoma"/>
            <family val="2"/>
          </rPr>
          <t xml:space="preserve">
Denrees/1malade/30j: 
 1 650 000 
</t>
        </r>
        <r>
          <rPr>
            <b/>
            <sz val="9"/>
            <color indexed="81"/>
            <rFont val="Tahoma"/>
            <family val="2"/>
          </rPr>
          <t xml:space="preserve"> </t>
        </r>
      </text>
    </comment>
    <comment ref="P36" authorId="2" shapeId="0">
      <text>
        <r>
          <rPr>
            <sz val="9"/>
            <color indexed="81"/>
            <rFont val="Tahoma"/>
            <family val="2"/>
          </rPr>
          <t xml:space="preserve">
Total malade pour les 4 centres: 400</t>
        </r>
      </text>
    </comment>
    <comment ref="Q36" authorId="2" shapeId="0">
      <text>
        <r>
          <rPr>
            <sz val="9"/>
            <color indexed="81"/>
            <rFont val="Tahoma"/>
            <family val="2"/>
          </rPr>
          <t xml:space="preserve">
Total mois: 12</t>
        </r>
      </text>
    </comment>
    <comment ref="U36" authorId="2" shapeId="0">
      <text>
        <r>
          <rPr>
            <sz val="9"/>
            <color indexed="81"/>
            <rFont val="Tahoma"/>
            <family val="2"/>
          </rPr>
          <t xml:space="preserve">
Denrees/1malade/30j: 
 1 650 000 
</t>
        </r>
        <r>
          <rPr>
            <b/>
            <sz val="9"/>
            <color indexed="81"/>
            <rFont val="Tahoma"/>
            <family val="2"/>
          </rPr>
          <t xml:space="preserve"> </t>
        </r>
      </text>
    </comment>
    <comment ref="V36" authorId="2" shapeId="0">
      <text>
        <r>
          <rPr>
            <sz val="9"/>
            <color indexed="81"/>
            <rFont val="Tahoma"/>
            <family val="2"/>
          </rPr>
          <t xml:space="preserve">
Total malade pour les 4 centres: 400</t>
        </r>
      </text>
    </comment>
    <comment ref="W36" authorId="2" shapeId="0">
      <text>
        <r>
          <rPr>
            <sz val="9"/>
            <color indexed="81"/>
            <rFont val="Tahoma"/>
            <family val="2"/>
          </rPr>
          <t xml:space="preserve">
Total mois: 12</t>
        </r>
      </text>
    </comment>
    <comment ref="AA36" authorId="2" shapeId="0">
      <text>
        <r>
          <rPr>
            <sz val="9"/>
            <color indexed="81"/>
            <rFont val="Tahoma"/>
            <family val="2"/>
          </rPr>
          <t xml:space="preserve">
Denrees/1malade/30j: 
 1 650 000 
</t>
        </r>
        <r>
          <rPr>
            <b/>
            <sz val="9"/>
            <color indexed="81"/>
            <rFont val="Tahoma"/>
            <family val="2"/>
          </rPr>
          <t xml:space="preserve"> </t>
        </r>
      </text>
    </comment>
    <comment ref="AB36" authorId="2" shapeId="0">
      <text>
        <r>
          <rPr>
            <sz val="9"/>
            <color indexed="81"/>
            <rFont val="Tahoma"/>
            <family val="2"/>
          </rPr>
          <t xml:space="preserve">
Total malade pour les 4 centres: 400</t>
        </r>
      </text>
    </comment>
    <comment ref="AC36" authorId="2" shapeId="0">
      <text>
        <r>
          <rPr>
            <sz val="9"/>
            <color indexed="81"/>
            <rFont val="Tahoma"/>
            <family val="2"/>
          </rPr>
          <t xml:space="preserve">
Total mois: 12</t>
        </r>
      </text>
    </comment>
    <comment ref="AG36" authorId="2" shapeId="0">
      <text>
        <r>
          <rPr>
            <sz val="9"/>
            <color indexed="81"/>
            <rFont val="Tahoma"/>
            <family val="2"/>
          </rPr>
          <t xml:space="preserve">
Denrees/1malade/30j: 
 1 650 000 
</t>
        </r>
        <r>
          <rPr>
            <b/>
            <sz val="9"/>
            <color indexed="81"/>
            <rFont val="Tahoma"/>
            <family val="2"/>
          </rPr>
          <t xml:space="preserve"> </t>
        </r>
      </text>
    </comment>
    <comment ref="AH36" authorId="2" shapeId="0">
      <text>
        <r>
          <rPr>
            <sz val="9"/>
            <color indexed="81"/>
            <rFont val="Tahoma"/>
            <family val="2"/>
          </rPr>
          <t xml:space="preserve">
Total malade pour les 4 centres: 400</t>
        </r>
      </text>
    </comment>
    <comment ref="AI36" authorId="2" shapeId="0">
      <text>
        <r>
          <rPr>
            <sz val="9"/>
            <color indexed="81"/>
            <rFont val="Tahoma"/>
            <family val="2"/>
          </rPr>
          <t xml:space="preserve">
Total mois: 12</t>
        </r>
      </text>
    </comment>
    <comment ref="I37" authorId="2" shapeId="0">
      <text>
        <r>
          <rPr>
            <sz val="9"/>
            <color indexed="81"/>
            <rFont val="Tahoma"/>
            <family val="2"/>
          </rPr>
          <t xml:space="preserve">
carb : 2 790 000 GNF
locat veh/1j : 700 000
manut forait : 1 000 000/5=200000
per diem/2 pers :840000
Total: 5830 000</t>
        </r>
      </text>
    </comment>
    <comment ref="J37" authorId="2" shapeId="0">
      <text>
        <r>
          <rPr>
            <sz val="9"/>
            <color indexed="81"/>
            <rFont val="Tahoma"/>
            <family val="2"/>
          </rPr>
          <t xml:space="preserve">4 axes 
</t>
        </r>
      </text>
    </comment>
    <comment ref="K37" authorId="2" shapeId="0">
      <text>
        <r>
          <rPr>
            <sz val="9"/>
            <color indexed="81"/>
            <rFont val="Tahoma"/>
            <family val="2"/>
          </rPr>
          <t xml:space="preserve">durée mission 20jours
</t>
        </r>
      </text>
    </comment>
    <comment ref="O37" authorId="2" shapeId="0">
      <text>
        <r>
          <rPr>
            <sz val="9"/>
            <color indexed="81"/>
            <rFont val="Tahoma"/>
            <family val="2"/>
          </rPr>
          <t xml:space="preserve">
carb : 2 790 000 GNF
locat veh/1j : 700 000
manut forait : 1 000 000/5=200000
per diem/2 pers :840000
Total: 5830 000</t>
        </r>
      </text>
    </comment>
    <comment ref="P37" authorId="2" shapeId="0">
      <text>
        <r>
          <rPr>
            <sz val="9"/>
            <color indexed="81"/>
            <rFont val="Tahoma"/>
            <family val="2"/>
          </rPr>
          <t xml:space="preserve">4 axes 
</t>
        </r>
      </text>
    </comment>
    <comment ref="Q37" authorId="2" shapeId="0">
      <text>
        <r>
          <rPr>
            <sz val="9"/>
            <color indexed="81"/>
            <rFont val="Tahoma"/>
            <family val="2"/>
          </rPr>
          <t xml:space="preserve">durée mission 20jours
</t>
        </r>
      </text>
    </comment>
    <comment ref="U37" authorId="2" shapeId="0">
      <text>
        <r>
          <rPr>
            <sz val="9"/>
            <color indexed="81"/>
            <rFont val="Tahoma"/>
            <family val="2"/>
          </rPr>
          <t xml:space="preserve">
carb : 2 790 000 GNF
locat veh/1j : 700 000
manut forait : 1 000 000/5=200000
per diem/2 pers :840000
Total: 5830 000</t>
        </r>
      </text>
    </comment>
    <comment ref="V37" authorId="2" shapeId="0">
      <text>
        <r>
          <rPr>
            <sz val="9"/>
            <color indexed="81"/>
            <rFont val="Tahoma"/>
            <family val="2"/>
          </rPr>
          <t xml:space="preserve">4 axes 
</t>
        </r>
      </text>
    </comment>
    <comment ref="W37" authorId="2" shapeId="0">
      <text>
        <r>
          <rPr>
            <sz val="9"/>
            <color indexed="81"/>
            <rFont val="Tahoma"/>
            <family val="2"/>
          </rPr>
          <t xml:space="preserve">durée mission 20jours
</t>
        </r>
      </text>
    </comment>
    <comment ref="AA37" authorId="2" shapeId="0">
      <text>
        <r>
          <rPr>
            <sz val="9"/>
            <color indexed="81"/>
            <rFont val="Tahoma"/>
            <family val="2"/>
          </rPr>
          <t xml:space="preserve">
carb : 2 790 000 GNF
locat veh/1j : 700 000
manut forait : 1 000 000/5=200000
per diem/2 pers :840000
Total: 5830 000</t>
        </r>
      </text>
    </comment>
    <comment ref="AB37" authorId="2" shapeId="0">
      <text>
        <r>
          <rPr>
            <sz val="9"/>
            <color indexed="81"/>
            <rFont val="Tahoma"/>
            <family val="2"/>
          </rPr>
          <t xml:space="preserve">4 axes 
</t>
        </r>
      </text>
    </comment>
    <comment ref="AC37" authorId="2" shapeId="0">
      <text>
        <r>
          <rPr>
            <sz val="9"/>
            <color indexed="81"/>
            <rFont val="Tahoma"/>
            <family val="2"/>
          </rPr>
          <t xml:space="preserve">durée mission 20jours
</t>
        </r>
      </text>
    </comment>
    <comment ref="AG37" authorId="2" shapeId="0">
      <text>
        <r>
          <rPr>
            <sz val="9"/>
            <color indexed="81"/>
            <rFont val="Tahoma"/>
            <family val="2"/>
          </rPr>
          <t xml:space="preserve">
carb : 2 790 000 GNF
locat veh/1j : 700 000
manut forait : 1 000 000/5=200000
per diem/2 pers :840000
Total: 5830 000</t>
        </r>
      </text>
    </comment>
    <comment ref="AH37" authorId="2" shapeId="0">
      <text>
        <r>
          <rPr>
            <sz val="9"/>
            <color indexed="81"/>
            <rFont val="Tahoma"/>
            <family val="2"/>
          </rPr>
          <t xml:space="preserve">4 axes 
</t>
        </r>
      </text>
    </comment>
    <comment ref="AI37" authorId="2" shapeId="0">
      <text>
        <r>
          <rPr>
            <sz val="9"/>
            <color indexed="81"/>
            <rFont val="Tahoma"/>
            <family val="2"/>
          </rPr>
          <t xml:space="preserve">durée mission 20jours
</t>
        </r>
      </text>
    </comment>
    <comment ref="I38" authorId="2" shapeId="0">
      <text>
        <r>
          <rPr>
            <b/>
            <sz val="9"/>
            <color indexed="81"/>
            <rFont val="Tahoma"/>
            <family val="2"/>
          </rPr>
          <t>nounkey:</t>
        </r>
        <r>
          <rPr>
            <sz val="9"/>
            <color indexed="81"/>
            <rFont val="Tahoma"/>
            <family val="2"/>
          </rPr>
          <t xml:space="preserve">
perdiem:420000
Carb:2790000/5j=558000
Loc vehi:700000
Manut:500000/5j=100000
Total=1 778 000</t>
        </r>
      </text>
    </comment>
    <comment ref="O38" authorId="2" shapeId="0">
      <text>
        <r>
          <rPr>
            <b/>
            <sz val="9"/>
            <color indexed="81"/>
            <rFont val="Tahoma"/>
            <family val="2"/>
          </rPr>
          <t>nounkey:</t>
        </r>
        <r>
          <rPr>
            <sz val="9"/>
            <color indexed="81"/>
            <rFont val="Tahoma"/>
            <family val="2"/>
          </rPr>
          <t xml:space="preserve">
perdiem:420000
Carb:2790000/5j=558000
Loc vehi:700000
Manut:500000/5j=100000
Total=1 778 000</t>
        </r>
      </text>
    </comment>
    <comment ref="U38" authorId="2" shapeId="0">
      <text>
        <r>
          <rPr>
            <b/>
            <sz val="9"/>
            <color indexed="81"/>
            <rFont val="Tahoma"/>
            <family val="2"/>
          </rPr>
          <t>nounkey:</t>
        </r>
        <r>
          <rPr>
            <sz val="9"/>
            <color indexed="81"/>
            <rFont val="Tahoma"/>
            <family val="2"/>
          </rPr>
          <t xml:space="preserve">
perdiem:420000
Carb:2790000/5j=558000
Loc vehi:700000
Manut:500000/5j=100000
Total=1 778 000</t>
        </r>
      </text>
    </comment>
    <comment ref="AA38" authorId="2" shapeId="0">
      <text>
        <r>
          <rPr>
            <b/>
            <sz val="9"/>
            <color indexed="81"/>
            <rFont val="Tahoma"/>
            <family val="2"/>
          </rPr>
          <t>nounkey:</t>
        </r>
        <r>
          <rPr>
            <sz val="9"/>
            <color indexed="81"/>
            <rFont val="Tahoma"/>
            <family val="2"/>
          </rPr>
          <t xml:space="preserve">
perdiem:420000
Carb:2790000/5j=558000
Loc vehi:700000
Manut:500000/5j=100000
Total=1 778 000</t>
        </r>
      </text>
    </comment>
    <comment ref="AG38" authorId="2" shapeId="0">
      <text>
        <r>
          <rPr>
            <b/>
            <sz val="9"/>
            <color indexed="81"/>
            <rFont val="Tahoma"/>
            <family val="2"/>
          </rPr>
          <t>nounkey:</t>
        </r>
        <r>
          <rPr>
            <sz val="9"/>
            <color indexed="81"/>
            <rFont val="Tahoma"/>
            <family val="2"/>
          </rPr>
          <t xml:space="preserve">
perdiem:420000
Carb:2790000/5j=558000
Loc vehi:700000
Manut:500000/5j=100000
Total=1 778 000</t>
        </r>
      </text>
    </comment>
    <comment ref="I39" authorId="2" shapeId="0">
      <text>
        <r>
          <rPr>
            <sz val="8"/>
            <color indexed="81"/>
            <rFont val="Tahoma"/>
            <family val="2"/>
          </rPr>
          <t xml:space="preserve">
carb vehic NC:7 580 0000
carb/28motos/dist:4 200 000=785333 carb/jr
perdiem 38 ISL:15 960 000
Mob soc/3emission:1 500 000/15jr=100000
perd  agents format/1j/6 agents:420 000
ME/Consommables:1 500 000/15jr=100000
Total: 17365333</t>
        </r>
      </text>
    </comment>
    <comment ref="J39" authorId="2" shapeId="0">
      <text>
        <r>
          <rPr>
            <sz val="9"/>
            <color indexed="81"/>
            <rFont val="Tahoma"/>
            <family val="2"/>
          </rPr>
          <t xml:space="preserve">4 régions naturelles 
</t>
        </r>
      </text>
    </comment>
    <comment ref="O39" authorId="2" shapeId="0">
      <text>
        <r>
          <rPr>
            <sz val="8"/>
            <color indexed="81"/>
            <rFont val="Tahoma"/>
            <family val="2"/>
          </rPr>
          <t xml:space="preserve">
carb vehic NC:7 580 0000
carb/28motos/dist:4 200 000=785333 carb/jr
perdiem 38 ISL:15 960 000
Mob soc/3emission:1 500 000/15jr=100000
perd  agents format/1j/6 agents:420 000
ME/Consommables:1 500 000/15jr=100000
Total: 17365333</t>
        </r>
      </text>
    </comment>
    <comment ref="P39" authorId="2" shapeId="0">
      <text>
        <r>
          <rPr>
            <sz val="9"/>
            <color indexed="81"/>
            <rFont val="Tahoma"/>
            <family val="2"/>
          </rPr>
          <t xml:space="preserve">4 régions naturelles 
</t>
        </r>
      </text>
    </comment>
    <comment ref="U39" authorId="2" shapeId="0">
      <text>
        <r>
          <rPr>
            <sz val="8"/>
            <color indexed="81"/>
            <rFont val="Tahoma"/>
            <family val="2"/>
          </rPr>
          <t xml:space="preserve">
carb vehic NC:7 580 0000
carb/28motos/dist:4 200 000=785333 carb/jr
perdiem 38 ISL:15 960 000
Mob soc/3emission:1 500 000/15jr=100000
perd  agents format/1j/6 agents:420 000
ME/Consommables:1 500 000/15jr=100000
Total: 17365333</t>
        </r>
      </text>
    </comment>
    <comment ref="V39" authorId="2" shapeId="0">
      <text>
        <r>
          <rPr>
            <sz val="9"/>
            <color indexed="81"/>
            <rFont val="Tahoma"/>
            <family val="2"/>
          </rPr>
          <t xml:space="preserve">4 régions naturelles 
</t>
        </r>
      </text>
    </comment>
    <comment ref="AA39" authorId="2" shapeId="0">
      <text>
        <r>
          <rPr>
            <sz val="8"/>
            <color indexed="81"/>
            <rFont val="Tahoma"/>
            <family val="2"/>
          </rPr>
          <t xml:space="preserve">
carb vehic NC:7 580 0000
carb/28motos/dist:4 200 000=785333 carb/jr
perdiem 38 ISL:15 960 000
Mob soc/3emission:1 500 000/15jr=100000
perd  agents format/1j/6 agents:420 000
ME/Consommables:1 500 000/15jr=100000
Total: 17365333</t>
        </r>
      </text>
    </comment>
    <comment ref="AB39" authorId="2" shapeId="0">
      <text>
        <r>
          <rPr>
            <sz val="9"/>
            <color indexed="81"/>
            <rFont val="Tahoma"/>
            <family val="2"/>
          </rPr>
          <t xml:space="preserve">4 régions naturelles 
</t>
        </r>
      </text>
    </comment>
    <comment ref="AG39" authorId="2" shapeId="0">
      <text>
        <r>
          <rPr>
            <sz val="8"/>
            <color indexed="81"/>
            <rFont val="Tahoma"/>
            <family val="2"/>
          </rPr>
          <t xml:space="preserve">
carb vehic NC:7 580 0000
carb/28motos/dist:4 200 000=785333 carb/jr
perdiem 38 ISL:15 960 000
Mob soc/3emission:1 500 000/15jr=100000
perd  agents format/1j/6 agents:420 000
ME/Consommables:1 500 000/15jr=100000
Total: 17365333</t>
        </r>
      </text>
    </comment>
    <comment ref="AH39" authorId="2" shapeId="0">
      <text>
        <r>
          <rPr>
            <sz val="9"/>
            <color indexed="81"/>
            <rFont val="Tahoma"/>
            <family val="2"/>
          </rPr>
          <t xml:space="preserve">4 régions naturelles 
</t>
        </r>
      </text>
    </comment>
    <comment ref="I40" authorId="2" shapeId="0">
      <text>
        <r>
          <rPr>
            <b/>
            <sz val="9"/>
            <color indexed="81"/>
            <rFont val="Tahoma"/>
            <family val="2"/>
          </rPr>
          <t>nounkey:</t>
        </r>
        <r>
          <rPr>
            <sz val="9"/>
            <color indexed="81"/>
            <rFont val="Tahoma"/>
            <family val="2"/>
          </rPr>
          <t xml:space="preserve">
perdiem:420000
Carb:936000/7j=133714
Total=553714</t>
        </r>
      </text>
    </comment>
    <comment ref="O40" authorId="2" shapeId="0">
      <text>
        <r>
          <rPr>
            <b/>
            <sz val="9"/>
            <color indexed="81"/>
            <rFont val="Tahoma"/>
            <family val="2"/>
          </rPr>
          <t>nounkey:</t>
        </r>
        <r>
          <rPr>
            <sz val="9"/>
            <color indexed="81"/>
            <rFont val="Tahoma"/>
            <family val="2"/>
          </rPr>
          <t xml:space="preserve">
perdiem:420000
Carb:936000/7j=133714
Total=553714</t>
        </r>
      </text>
    </comment>
    <comment ref="U40" authorId="2" shapeId="0">
      <text>
        <r>
          <rPr>
            <b/>
            <sz val="9"/>
            <color indexed="81"/>
            <rFont val="Tahoma"/>
            <family val="2"/>
          </rPr>
          <t>nounkey:</t>
        </r>
        <r>
          <rPr>
            <sz val="9"/>
            <color indexed="81"/>
            <rFont val="Tahoma"/>
            <family val="2"/>
          </rPr>
          <t xml:space="preserve">
perdiem:420000
Carb:936000/7j=133714
Total=553714</t>
        </r>
      </text>
    </comment>
    <comment ref="AA40" authorId="2" shapeId="0">
      <text>
        <r>
          <rPr>
            <b/>
            <sz val="9"/>
            <color indexed="81"/>
            <rFont val="Tahoma"/>
            <family val="2"/>
          </rPr>
          <t>nounkey:</t>
        </r>
        <r>
          <rPr>
            <sz val="9"/>
            <color indexed="81"/>
            <rFont val="Tahoma"/>
            <family val="2"/>
          </rPr>
          <t xml:space="preserve">
perdiem:420000
Carb:936000/7j=133714
Total=553714</t>
        </r>
      </text>
    </comment>
    <comment ref="AG40" authorId="2" shapeId="0">
      <text>
        <r>
          <rPr>
            <b/>
            <sz val="9"/>
            <color indexed="81"/>
            <rFont val="Tahoma"/>
            <family val="2"/>
          </rPr>
          <t>nounkey:</t>
        </r>
        <r>
          <rPr>
            <sz val="9"/>
            <color indexed="81"/>
            <rFont val="Tahoma"/>
            <family val="2"/>
          </rPr>
          <t xml:space="preserve">
perdiem:420000
Carb:936000/7j=133714
Total=553714</t>
        </r>
      </text>
    </comment>
    <comment ref="I41" authorId="2" shapeId="0">
      <text>
        <r>
          <rPr>
            <b/>
            <sz val="9"/>
            <color indexed="81"/>
            <rFont val="Tahoma"/>
            <family val="2"/>
          </rPr>
          <t>nounkey:</t>
        </r>
        <r>
          <rPr>
            <sz val="9"/>
            <color indexed="81"/>
            <rFont val="Tahoma"/>
            <family val="2"/>
          </rPr>
          <t xml:space="preserve">
perdiem:420000
Carb:936000/30j=31200
Total=451200</t>
        </r>
      </text>
    </comment>
    <comment ref="O41" authorId="2" shapeId="0">
      <text>
        <r>
          <rPr>
            <b/>
            <sz val="9"/>
            <color indexed="81"/>
            <rFont val="Tahoma"/>
            <family val="2"/>
          </rPr>
          <t>nounkey:</t>
        </r>
        <r>
          <rPr>
            <sz val="9"/>
            <color indexed="81"/>
            <rFont val="Tahoma"/>
            <family val="2"/>
          </rPr>
          <t xml:space="preserve">
perdiem:420000
Carb:936000/30j=31200
Total=451200</t>
        </r>
      </text>
    </comment>
    <comment ref="U41" authorId="2" shapeId="0">
      <text>
        <r>
          <rPr>
            <b/>
            <sz val="9"/>
            <color indexed="81"/>
            <rFont val="Tahoma"/>
            <family val="2"/>
          </rPr>
          <t>nounkey:</t>
        </r>
        <r>
          <rPr>
            <sz val="9"/>
            <color indexed="81"/>
            <rFont val="Tahoma"/>
            <family val="2"/>
          </rPr>
          <t xml:space="preserve">
perdiem:420000
Carb:936000/30j=31200
Total=451200</t>
        </r>
      </text>
    </comment>
    <comment ref="AA41" authorId="2" shapeId="0">
      <text>
        <r>
          <rPr>
            <b/>
            <sz val="9"/>
            <color indexed="81"/>
            <rFont val="Tahoma"/>
            <family val="2"/>
          </rPr>
          <t>nounkey:</t>
        </r>
        <r>
          <rPr>
            <sz val="9"/>
            <color indexed="81"/>
            <rFont val="Tahoma"/>
            <family val="2"/>
          </rPr>
          <t xml:space="preserve">
perdiem:420000
Carb:936000/30j=31200
Total=451200</t>
        </r>
      </text>
    </comment>
    <comment ref="AG41" authorId="2" shapeId="0">
      <text>
        <r>
          <rPr>
            <b/>
            <sz val="9"/>
            <color indexed="81"/>
            <rFont val="Tahoma"/>
            <family val="2"/>
          </rPr>
          <t>nounkey:</t>
        </r>
        <r>
          <rPr>
            <sz val="9"/>
            <color indexed="81"/>
            <rFont val="Tahoma"/>
            <family val="2"/>
          </rPr>
          <t xml:space="preserve">
perdiem:420000
Carb:936000/30j=31200
Total=451200</t>
        </r>
      </text>
    </comment>
    <comment ref="I42" authorId="2" shapeId="0">
      <text>
        <r>
          <rPr>
            <b/>
            <sz val="9"/>
            <color indexed="81"/>
            <rFont val="Tahoma"/>
            <family val="2"/>
          </rPr>
          <t>nounkey:</t>
        </r>
        <r>
          <rPr>
            <sz val="9"/>
            <color indexed="81"/>
            <rFont val="Tahoma"/>
            <family val="2"/>
          </rPr>
          <t xml:space="preserve">
carb A/R /1veh: 2 790 000
perdiem/pers:4 200 000
Manutent: 2 000 000
 Total: 8 990 000</t>
        </r>
      </text>
    </comment>
    <comment ref="O42" authorId="2" shapeId="0">
      <text>
        <r>
          <rPr>
            <b/>
            <sz val="9"/>
            <color indexed="81"/>
            <rFont val="Tahoma"/>
            <family val="2"/>
          </rPr>
          <t>nounkey:</t>
        </r>
        <r>
          <rPr>
            <sz val="9"/>
            <color indexed="81"/>
            <rFont val="Tahoma"/>
            <family val="2"/>
          </rPr>
          <t xml:space="preserve">
carb A/R /1veh: 2 790 000
perdiem/pers:4 200 000
Manutent: 2 000 000
 Total: 8 990 000</t>
        </r>
      </text>
    </comment>
    <comment ref="U42" authorId="2" shapeId="0">
      <text>
        <r>
          <rPr>
            <b/>
            <sz val="9"/>
            <color indexed="81"/>
            <rFont val="Tahoma"/>
            <family val="2"/>
          </rPr>
          <t>nounkey:</t>
        </r>
        <r>
          <rPr>
            <sz val="9"/>
            <color indexed="81"/>
            <rFont val="Tahoma"/>
            <family val="2"/>
          </rPr>
          <t xml:space="preserve">
carb A/R /1veh: 2 790 000
perdiem/pers:4 200 000
Manutent: 2 000 000
 Total: 8 990 000</t>
        </r>
      </text>
    </comment>
    <comment ref="AA42" authorId="2" shapeId="0">
      <text>
        <r>
          <rPr>
            <b/>
            <sz val="9"/>
            <color indexed="81"/>
            <rFont val="Tahoma"/>
            <family val="2"/>
          </rPr>
          <t>nounkey:</t>
        </r>
        <r>
          <rPr>
            <sz val="9"/>
            <color indexed="81"/>
            <rFont val="Tahoma"/>
            <family val="2"/>
          </rPr>
          <t xml:space="preserve">
carb A/R /1veh: 2 790 000
perdiem/pers:4 200 000
Manutent: 2 000 000
 Total: 8 990 000</t>
        </r>
      </text>
    </comment>
    <comment ref="AG42" authorId="2" shapeId="0">
      <text>
        <r>
          <rPr>
            <b/>
            <sz val="9"/>
            <color indexed="81"/>
            <rFont val="Tahoma"/>
            <family val="2"/>
          </rPr>
          <t>nounkey:</t>
        </r>
        <r>
          <rPr>
            <sz val="9"/>
            <color indexed="81"/>
            <rFont val="Tahoma"/>
            <family val="2"/>
          </rPr>
          <t xml:space="preserve">
carb A/R /1veh: 2 790 000
perdiem/pers:4 200 000
Manutent: 2 000 000
 Total: 8 990 000</t>
        </r>
      </text>
    </comment>
    <comment ref="I43" authorId="2" shapeId="0">
      <text>
        <r>
          <rPr>
            <b/>
            <sz val="9"/>
            <color indexed="81"/>
            <rFont val="Tahoma"/>
            <family val="2"/>
          </rPr>
          <t>nounkey:</t>
        </r>
        <r>
          <rPr>
            <sz val="9"/>
            <color indexed="81"/>
            <rFont val="Tahoma"/>
            <family val="2"/>
          </rPr>
          <t xml:space="preserve">
Achat ME forfait/axe:
150 000 000</t>
        </r>
      </text>
    </comment>
    <comment ref="O43" authorId="2" shapeId="0">
      <text>
        <r>
          <rPr>
            <b/>
            <sz val="9"/>
            <color indexed="81"/>
            <rFont val="Tahoma"/>
            <family val="2"/>
          </rPr>
          <t>nounkey:</t>
        </r>
        <r>
          <rPr>
            <sz val="9"/>
            <color indexed="81"/>
            <rFont val="Tahoma"/>
            <family val="2"/>
          </rPr>
          <t xml:space="preserve">
Achat ME forfait/axe:
150 000 000</t>
        </r>
      </text>
    </comment>
    <comment ref="U43" authorId="2" shapeId="0">
      <text>
        <r>
          <rPr>
            <b/>
            <sz val="9"/>
            <color indexed="81"/>
            <rFont val="Tahoma"/>
            <family val="2"/>
          </rPr>
          <t>nounkey:</t>
        </r>
        <r>
          <rPr>
            <sz val="9"/>
            <color indexed="81"/>
            <rFont val="Tahoma"/>
            <family val="2"/>
          </rPr>
          <t xml:space="preserve">
Achat ME forfait/axe:
150 000 000</t>
        </r>
      </text>
    </comment>
    <comment ref="AA43" authorId="2" shapeId="0">
      <text>
        <r>
          <rPr>
            <b/>
            <sz val="9"/>
            <color indexed="81"/>
            <rFont val="Tahoma"/>
            <family val="2"/>
          </rPr>
          <t>nounkey:</t>
        </r>
        <r>
          <rPr>
            <sz val="9"/>
            <color indexed="81"/>
            <rFont val="Tahoma"/>
            <family val="2"/>
          </rPr>
          <t xml:space="preserve">
Achat ME forfait/axe:
150 000 000</t>
        </r>
      </text>
    </comment>
    <comment ref="AG43" authorId="2" shapeId="0">
      <text>
        <r>
          <rPr>
            <b/>
            <sz val="9"/>
            <color indexed="81"/>
            <rFont val="Tahoma"/>
            <family val="2"/>
          </rPr>
          <t>nounkey:</t>
        </r>
        <r>
          <rPr>
            <sz val="9"/>
            <color indexed="81"/>
            <rFont val="Tahoma"/>
            <family val="2"/>
          </rPr>
          <t xml:space="preserve">
Achat ME forfait/axe:
150 000 000</t>
        </r>
      </text>
    </comment>
    <comment ref="I44" authorId="0" shapeId="0">
      <text>
        <r>
          <rPr>
            <b/>
            <sz val="9"/>
            <color indexed="81"/>
            <rFont val="Tahoma"/>
            <family val="2"/>
          </rPr>
          <t>Abdoul A.. Diallo:</t>
        </r>
        <r>
          <rPr>
            <sz val="9"/>
            <color indexed="81"/>
            <rFont val="Tahoma"/>
            <family val="2"/>
          </rPr>
          <t xml:space="preserve">
Perdiem (838x35 DS) = 29330 Distributeurs):50 000
Transport lieu de formation: 100 000/3 = 33 333
Perdiem 1 jour de formation: 50000/3 =16 667
TOTAL= 100 000
</t>
        </r>
      </text>
    </comment>
    <comment ref="O44" authorId="0" shapeId="0">
      <text>
        <r>
          <rPr>
            <b/>
            <sz val="9"/>
            <color indexed="81"/>
            <rFont val="Tahoma"/>
            <family val="2"/>
          </rPr>
          <t>Abdoul A.. Diallo:</t>
        </r>
        <r>
          <rPr>
            <sz val="9"/>
            <color indexed="81"/>
            <rFont val="Tahoma"/>
            <family val="2"/>
          </rPr>
          <t xml:space="preserve">
Perdiem (838x35 DS) = 29330 Distributeurs):50 000
Transport lieu de formation: 100 000/3 = 33 333
Perdiem 1 jour de formation: 50000/3 =16 667
TOTAL= 100 000
</t>
        </r>
      </text>
    </comment>
    <comment ref="U44" authorId="0" shapeId="0">
      <text>
        <r>
          <rPr>
            <b/>
            <sz val="9"/>
            <color indexed="81"/>
            <rFont val="Tahoma"/>
            <family val="2"/>
          </rPr>
          <t>Abdoul A.. Diallo:</t>
        </r>
        <r>
          <rPr>
            <sz val="9"/>
            <color indexed="81"/>
            <rFont val="Tahoma"/>
            <family val="2"/>
          </rPr>
          <t xml:space="preserve">
Perdiem (838x35 DS) = 29330 Distributeurs):50 000
Transport lieu de formation: 100 000/3 = 33 333
Perdiem 1 jour de formation: 50000/3 =16 667
TOTAL= 100 000
</t>
        </r>
      </text>
    </comment>
    <comment ref="AA44" authorId="0" shapeId="0">
      <text>
        <r>
          <rPr>
            <b/>
            <sz val="9"/>
            <color indexed="81"/>
            <rFont val="Tahoma"/>
            <family val="2"/>
          </rPr>
          <t>Abdoul A.. Diallo:</t>
        </r>
        <r>
          <rPr>
            <sz val="9"/>
            <color indexed="81"/>
            <rFont val="Tahoma"/>
            <family val="2"/>
          </rPr>
          <t xml:space="preserve">
Perdiem (838x35 DS) = 29330 Distributeurs):50 000
Transport lieu de formation: 100 000/3 = 33 333
Perdiem 1 jour de formation: 50000/3 =16 667
TOTAL= 100 000
</t>
        </r>
      </text>
    </comment>
    <comment ref="AG44" authorId="0" shapeId="0">
      <text>
        <r>
          <rPr>
            <b/>
            <sz val="9"/>
            <color indexed="81"/>
            <rFont val="Tahoma"/>
            <family val="2"/>
          </rPr>
          <t>Abdoul A.. Diallo:</t>
        </r>
        <r>
          <rPr>
            <sz val="9"/>
            <color indexed="81"/>
            <rFont val="Tahoma"/>
            <family val="2"/>
          </rPr>
          <t xml:space="preserve">
Perdiem (838x35 DS) = 29330 Distributeurs):50 000
Transport lieu de formation: 100 000/3 = 33 333
Perdiem 1 jour de formation: 50000/3 =16 667
TOTAL= 100 000
</t>
        </r>
      </text>
    </comment>
    <comment ref="I45" authorId="0" shapeId="0">
      <text>
        <r>
          <rPr>
            <b/>
            <sz val="9"/>
            <color indexed="81"/>
            <rFont val="Tahoma"/>
            <family val="2"/>
          </rPr>
          <t>Abdoul A.. Diallo:</t>
        </r>
        <r>
          <rPr>
            <sz val="9"/>
            <color indexed="81"/>
            <rFont val="Tahoma"/>
            <family val="2"/>
          </rPr>
          <t xml:space="preserve">
Prix du kit (35x5x3): 200 000
TOTAL = 200 000</t>
        </r>
      </text>
    </comment>
    <comment ref="O45" authorId="0" shapeId="0">
      <text>
        <r>
          <rPr>
            <b/>
            <sz val="9"/>
            <color indexed="81"/>
            <rFont val="Tahoma"/>
            <family val="2"/>
          </rPr>
          <t>Abdoul A.. Diallo:</t>
        </r>
        <r>
          <rPr>
            <sz val="9"/>
            <color indexed="81"/>
            <rFont val="Tahoma"/>
            <family val="2"/>
          </rPr>
          <t xml:space="preserve">
Prix du kit (35x5x3): 200 000
TOTAL = 200 000</t>
        </r>
      </text>
    </comment>
    <comment ref="U45" authorId="0" shapeId="0">
      <text>
        <r>
          <rPr>
            <b/>
            <sz val="9"/>
            <color indexed="81"/>
            <rFont val="Tahoma"/>
            <family val="2"/>
          </rPr>
          <t>Abdoul A.. Diallo:</t>
        </r>
        <r>
          <rPr>
            <sz val="9"/>
            <color indexed="81"/>
            <rFont val="Tahoma"/>
            <family val="2"/>
          </rPr>
          <t xml:space="preserve">
Prix du kit (35x5x3): 200 000
TOTAL = 200 000</t>
        </r>
      </text>
    </comment>
    <comment ref="AA45" authorId="0" shapeId="0">
      <text>
        <r>
          <rPr>
            <b/>
            <sz val="9"/>
            <color indexed="81"/>
            <rFont val="Tahoma"/>
            <family val="2"/>
          </rPr>
          <t>Abdoul A.. Diallo:</t>
        </r>
        <r>
          <rPr>
            <sz val="9"/>
            <color indexed="81"/>
            <rFont val="Tahoma"/>
            <family val="2"/>
          </rPr>
          <t xml:space="preserve">
Prix du kit (35x5x3): 200 000
TOTAL = 200 000</t>
        </r>
      </text>
    </comment>
    <comment ref="AG45" authorId="0" shapeId="0">
      <text>
        <r>
          <rPr>
            <b/>
            <sz val="9"/>
            <color indexed="81"/>
            <rFont val="Tahoma"/>
            <family val="2"/>
          </rPr>
          <t>Abdoul A.. Diallo:</t>
        </r>
        <r>
          <rPr>
            <sz val="9"/>
            <color indexed="81"/>
            <rFont val="Tahoma"/>
            <family val="2"/>
          </rPr>
          <t xml:space="preserve">
Prix du kit (35x5x3): 200 000
TOTAL = 200 000</t>
        </r>
      </text>
    </comment>
    <comment ref="I46" authorId="0" shapeId="0">
      <text>
        <r>
          <rPr>
            <b/>
            <sz val="9"/>
            <color indexed="81"/>
            <rFont val="Tahoma"/>
            <family val="2"/>
          </rPr>
          <t>Abdoul A.. Diallo:</t>
        </r>
        <r>
          <rPr>
            <sz val="9"/>
            <color indexed="81"/>
            <rFont val="Tahoma"/>
            <family val="2"/>
          </rPr>
          <t xml:space="preserve">
Appui au personnel du bloc (5 sitex3 camp) : 246 900 000/500 = 493 800
Appui au bloc (Frais de dossier, labo, carburant, renforcement des capacités )x5x3: 68 250 000/500 =136 500
Transport malades: 100 000
TOTAL = 730 300</t>
        </r>
      </text>
    </comment>
    <comment ref="O46" authorId="0" shapeId="0">
      <text>
        <r>
          <rPr>
            <b/>
            <sz val="9"/>
            <color indexed="81"/>
            <rFont val="Tahoma"/>
            <family val="2"/>
          </rPr>
          <t>Abdoul A.. Diallo:</t>
        </r>
        <r>
          <rPr>
            <sz val="9"/>
            <color indexed="81"/>
            <rFont val="Tahoma"/>
            <family val="2"/>
          </rPr>
          <t xml:space="preserve">
Appui au personnel du bloc (5 sitex3 camp) : 246 900 000/500 = 493 800
Appui au bloc (Frais de dossier, labo, carburant, renforcement des capacités )x5x3: 68 250 000/500 =136 500
Transport malades: 100 000
TOTAL = 730 300</t>
        </r>
      </text>
    </comment>
    <comment ref="U46" authorId="0" shapeId="0">
      <text>
        <r>
          <rPr>
            <b/>
            <sz val="9"/>
            <color indexed="81"/>
            <rFont val="Tahoma"/>
            <family val="2"/>
          </rPr>
          <t>Abdoul A.. Diallo:</t>
        </r>
        <r>
          <rPr>
            <sz val="9"/>
            <color indexed="81"/>
            <rFont val="Tahoma"/>
            <family val="2"/>
          </rPr>
          <t xml:space="preserve">
Appui au personnel du bloc (5 sitex3 camp) : 246 900 000/500 = 493 800
Appui au bloc (Frais de dossier, labo, carburant, renforcement des capacités )x5x3: 68 250 000/500 =136 500
Transport malades: 100 000
TOTAL = 730 300</t>
        </r>
      </text>
    </comment>
    <comment ref="AA46" authorId="0" shapeId="0">
      <text>
        <r>
          <rPr>
            <b/>
            <sz val="9"/>
            <color indexed="81"/>
            <rFont val="Tahoma"/>
            <family val="2"/>
          </rPr>
          <t>Abdoul A.. Diallo:</t>
        </r>
        <r>
          <rPr>
            <sz val="9"/>
            <color indexed="81"/>
            <rFont val="Tahoma"/>
            <family val="2"/>
          </rPr>
          <t xml:space="preserve">
Appui au personnel du bloc (5 sitex3 camp) : 246 900 000/500 = 493 800
Appui au bloc (Frais de dossier, labo, carburant, renforcement des capacités )x5x3: 68 250 000/500 =136 500
Transport malades: 100 000
TOTAL = 730 300</t>
        </r>
      </text>
    </comment>
    <comment ref="AG46" authorId="0" shapeId="0">
      <text>
        <r>
          <rPr>
            <b/>
            <sz val="9"/>
            <color indexed="81"/>
            <rFont val="Tahoma"/>
            <family val="2"/>
          </rPr>
          <t>Abdoul A.. Diallo:</t>
        </r>
        <r>
          <rPr>
            <sz val="9"/>
            <color indexed="81"/>
            <rFont val="Tahoma"/>
            <family val="2"/>
          </rPr>
          <t xml:space="preserve">
Appui au personnel du bloc (5 sitex3 camp) : 246 900 000/500 = 493 800
Appui au bloc (Frais de dossier, labo, carburant, renforcement des capacités )x5x3: 68 250 000/500 =136 500
Transport malades: 100 000
TOTAL = 730 300</t>
        </r>
      </text>
    </comment>
    <comment ref="I47" authorId="0" shapeId="0">
      <text>
        <r>
          <rPr>
            <b/>
            <sz val="9"/>
            <color indexed="81"/>
            <rFont val="Tahoma"/>
            <family val="2"/>
          </rPr>
          <t>Abdoul A.. Diallo:</t>
        </r>
        <r>
          <rPr>
            <sz val="9"/>
            <color indexed="81"/>
            <rFont val="Tahoma"/>
            <family val="2"/>
          </rPr>
          <t xml:space="preserve">
Perdiem (838x18DS) = 15084 Distributeurs):50 000
Transport lieu de formation: 100 000/3 = 33 333
Perdiem 1jour de formation: 50 000 /3 =16 667 
TOTAL= 100 000</t>
        </r>
      </text>
    </comment>
    <comment ref="O47" authorId="0" shapeId="0">
      <text>
        <r>
          <rPr>
            <b/>
            <sz val="9"/>
            <color indexed="81"/>
            <rFont val="Tahoma"/>
            <family val="2"/>
          </rPr>
          <t>Abdoul A.. Diallo:</t>
        </r>
        <r>
          <rPr>
            <sz val="9"/>
            <color indexed="81"/>
            <rFont val="Tahoma"/>
            <family val="2"/>
          </rPr>
          <t xml:space="preserve">
Perdiem (838x18DS) = 15084 Distributeurs):50 000
Transport lieu de formation: 100 000/3 = 33 333
Perdiem 1jour de formation: 50 000 /3 =16 667 
TOTAL= 100 000</t>
        </r>
      </text>
    </comment>
    <comment ref="U47" authorId="0" shapeId="0">
      <text>
        <r>
          <rPr>
            <b/>
            <sz val="9"/>
            <color indexed="81"/>
            <rFont val="Tahoma"/>
            <family val="2"/>
          </rPr>
          <t>Abdoul A.. Diallo:</t>
        </r>
        <r>
          <rPr>
            <sz val="9"/>
            <color indexed="81"/>
            <rFont val="Tahoma"/>
            <family val="2"/>
          </rPr>
          <t xml:space="preserve">
Perdiem (838x18DS) = 15084 Distributeurs):50 000
Transport lieu de formation: 100 000/3 = 33 333
Perdiem 1jour de formation: 50 000 /3 =16 667 
TOTAL= 100 000</t>
        </r>
      </text>
    </comment>
    <comment ref="AA47" authorId="0" shapeId="0">
      <text>
        <r>
          <rPr>
            <b/>
            <sz val="9"/>
            <color indexed="81"/>
            <rFont val="Tahoma"/>
            <family val="2"/>
          </rPr>
          <t>Abdoul A.. Diallo:</t>
        </r>
        <r>
          <rPr>
            <sz val="9"/>
            <color indexed="81"/>
            <rFont val="Tahoma"/>
            <family val="2"/>
          </rPr>
          <t xml:space="preserve">
Perdiem (838x18DS) = 15084 Distributeurs):50 000
Transport lieu de formation: 100 000/3 = 33 333
Perdiem 1jour de formation: 50 000 /3 =16 667 
TOTAL= 100 000</t>
        </r>
      </text>
    </comment>
    <comment ref="AG47" authorId="0" shapeId="0">
      <text>
        <r>
          <rPr>
            <b/>
            <sz val="9"/>
            <color indexed="81"/>
            <rFont val="Tahoma"/>
            <family val="2"/>
          </rPr>
          <t>Abdoul A.. Diallo:</t>
        </r>
        <r>
          <rPr>
            <sz val="9"/>
            <color indexed="81"/>
            <rFont val="Tahoma"/>
            <family val="2"/>
          </rPr>
          <t xml:space="preserve">
Perdiem (838x18DS) = 15084 Distributeurs):50 000
Transport lieu de formation: 100 000/3 = 33 333
Perdiem 1jour de formation: 50 000 /3 =16 667 
TOTAL= 100 000</t>
        </r>
      </text>
    </comment>
    <comment ref="I48" authorId="0" shapeId="0">
      <text>
        <r>
          <rPr>
            <b/>
            <sz val="9"/>
            <color indexed="81"/>
            <rFont val="Tahoma"/>
            <family val="2"/>
          </rPr>
          <t>Abdoul A.. Diallo:</t>
        </r>
        <r>
          <rPr>
            <sz val="9"/>
            <color indexed="81"/>
            <rFont val="Tahoma"/>
            <family val="2"/>
          </rPr>
          <t xml:space="preserve">
Perdiem(1Convx18 DS): 420 000
Carburant: 135Lx10000 = 1 350 000
TOTAL = 1 770 000</t>
        </r>
      </text>
    </comment>
    <comment ref="O48" authorId="0" shapeId="0">
      <text>
        <r>
          <rPr>
            <b/>
            <sz val="9"/>
            <color indexed="81"/>
            <rFont val="Tahoma"/>
            <family val="2"/>
          </rPr>
          <t>Abdoul A.. Diallo:</t>
        </r>
        <r>
          <rPr>
            <sz val="9"/>
            <color indexed="81"/>
            <rFont val="Tahoma"/>
            <family val="2"/>
          </rPr>
          <t xml:space="preserve">
Perdiem(1Convx18 DS): 420 000
Carburant: 135Lx10000 = 1 350 000
TOTAL = 1 770 000</t>
        </r>
      </text>
    </comment>
    <comment ref="U48" authorId="0" shapeId="0">
      <text>
        <r>
          <rPr>
            <b/>
            <sz val="9"/>
            <color indexed="81"/>
            <rFont val="Tahoma"/>
            <family val="2"/>
          </rPr>
          <t>Abdoul A.. Diallo:</t>
        </r>
        <r>
          <rPr>
            <sz val="9"/>
            <color indexed="81"/>
            <rFont val="Tahoma"/>
            <family val="2"/>
          </rPr>
          <t xml:space="preserve">
Perdiem(1Convx18 DS): 420 000
Carburant: 135Lx10000 = 1 350 000
TOTAL = 1 770 000</t>
        </r>
      </text>
    </comment>
    <comment ref="AA48" authorId="0" shapeId="0">
      <text>
        <r>
          <rPr>
            <b/>
            <sz val="9"/>
            <color indexed="81"/>
            <rFont val="Tahoma"/>
            <family val="2"/>
          </rPr>
          <t>Abdoul A.. Diallo:</t>
        </r>
        <r>
          <rPr>
            <sz val="9"/>
            <color indexed="81"/>
            <rFont val="Tahoma"/>
            <family val="2"/>
          </rPr>
          <t xml:space="preserve">
Perdiem(1Convx18 DS): 420 000
Carburant: 135Lx10000 = 1 350 000
TOTAL = 1 770 000</t>
        </r>
      </text>
    </comment>
    <comment ref="AG48" authorId="0" shapeId="0">
      <text>
        <r>
          <rPr>
            <b/>
            <sz val="9"/>
            <color indexed="81"/>
            <rFont val="Tahoma"/>
            <family val="2"/>
          </rPr>
          <t>Abdoul A.. Diallo:</t>
        </r>
        <r>
          <rPr>
            <sz val="9"/>
            <color indexed="81"/>
            <rFont val="Tahoma"/>
            <family val="2"/>
          </rPr>
          <t xml:space="preserve">
Perdiem(1Convx18 DS): 420 000
Carburant: 135Lx10000 = 1 350 000
TOTAL = 1 770 000</t>
        </r>
      </text>
    </comment>
    <comment ref="I49" authorId="0" shapeId="0">
      <text>
        <r>
          <rPr>
            <b/>
            <sz val="9"/>
            <color indexed="81"/>
            <rFont val="Tahoma"/>
            <family val="2"/>
          </rPr>
          <t>Abdoul A.. Diallo:</t>
        </r>
        <r>
          <rPr>
            <sz val="9"/>
            <color indexed="81"/>
            <rFont val="Tahoma"/>
            <family val="2"/>
          </rPr>
          <t xml:space="preserve">
Prix du Kit(1000 Kits): 119 907 000/ = 166 538
Perdiem(10 OTT+ 2 Sup)x60j: 420 000 
Carburant: 135Lx10000 = 1 350 000/60x12 = 1 875
Communiqué radio(x60j): 150 000/12 = 12 500
Fourniture de bureau: 25 000/60 =417
TOTAL =  601 330</t>
        </r>
      </text>
    </comment>
    <comment ref="O49" authorId="0" shapeId="0">
      <text>
        <r>
          <rPr>
            <b/>
            <sz val="9"/>
            <color indexed="81"/>
            <rFont val="Tahoma"/>
            <family val="2"/>
          </rPr>
          <t>Abdoul A.. Diallo:</t>
        </r>
        <r>
          <rPr>
            <sz val="9"/>
            <color indexed="81"/>
            <rFont val="Tahoma"/>
            <family val="2"/>
          </rPr>
          <t xml:space="preserve">
Prix du Kit(1000 Kits): 119 907 000/ = 166 538
Perdiem(10 OTT+ 2 Sup)x60j: 420 000 
Carburant: 135Lx10000 = 1 350 000/60x12 = 1 875
Communiqué radio(x60j): 150 000/12 = 12 500
Fourniture de bureau: 25 000/60 =417
TOTAL =  601 330</t>
        </r>
      </text>
    </comment>
    <comment ref="U49" authorId="0" shapeId="0">
      <text>
        <r>
          <rPr>
            <b/>
            <sz val="9"/>
            <color indexed="81"/>
            <rFont val="Tahoma"/>
            <family val="2"/>
          </rPr>
          <t>Abdoul A.. Diallo:</t>
        </r>
        <r>
          <rPr>
            <sz val="9"/>
            <color indexed="81"/>
            <rFont val="Tahoma"/>
            <family val="2"/>
          </rPr>
          <t xml:space="preserve">
Prix du Kit(1000 Kits): 119 907 000/ = 166 538
Perdiem(10 OTT+ 2 Sup)x60j: 420 000 
Carburant: 135Lx10000 = 1 350 000/60x12 = 1 875
Communiqué radio(x60j): 150 000/12 = 12 500
Fourniture de bureau: 25 000/60 =417
TOTAL =  601 330</t>
        </r>
      </text>
    </comment>
    <comment ref="AA49" authorId="0" shapeId="0">
      <text>
        <r>
          <rPr>
            <b/>
            <sz val="9"/>
            <color indexed="81"/>
            <rFont val="Tahoma"/>
            <family val="2"/>
          </rPr>
          <t>Abdoul A.. Diallo:</t>
        </r>
        <r>
          <rPr>
            <sz val="9"/>
            <color indexed="81"/>
            <rFont val="Tahoma"/>
            <family val="2"/>
          </rPr>
          <t xml:space="preserve">
Prix du Kit(1000 Kits): 119 907 000/ = 166 538
Perdiem(10 OTT+ 2 Sup)x60j: 420 000 
Carburant: 135Lx10000 = 1 350 000/60x12 = 1 875
Communiqué radio(x60j): 150 000/12 = 12 500
Fourniture de bureau: 25 000/60 =417
TOTAL =  601 330</t>
        </r>
      </text>
    </comment>
    <comment ref="AG49" authorId="0" shapeId="0">
      <text>
        <r>
          <rPr>
            <b/>
            <sz val="9"/>
            <color indexed="81"/>
            <rFont val="Tahoma"/>
            <family val="2"/>
          </rPr>
          <t>Abdoul A.. Diallo:</t>
        </r>
        <r>
          <rPr>
            <sz val="9"/>
            <color indexed="81"/>
            <rFont val="Tahoma"/>
            <family val="2"/>
          </rPr>
          <t xml:space="preserve">
Prix du Kit(1000 Kits): 119 907 000/ = 166 538
Perdiem(10 OTT+ 2 Sup)x60j: 420 000 
Carburant: 135Lx10000 = 1 350 000/60x12 = 1 875
Communiqué radio(x60j): 150 000/12 = 12 500
Fourniture de bureau: 25 000/60 =417
TOTAL =  601 330</t>
        </r>
      </text>
    </comment>
    <comment ref="I55" authorId="0" shapeId="0">
      <text>
        <r>
          <rPr>
            <b/>
            <sz val="9"/>
            <color indexed="81"/>
            <rFont val="Tahoma"/>
            <family val="2"/>
          </rPr>
          <t>Abdoul A.. Diallo:</t>
        </r>
        <r>
          <rPr>
            <sz val="9"/>
            <color indexed="81"/>
            <rFont val="Tahoma"/>
            <family val="2"/>
          </rPr>
          <t xml:space="preserve">
Prix du Kit(1000 Kits): 320 000x1000 = 320 000 000/300 = 1 066 667
Perdiem(10 OPK+ 2 Sup)x50j: 420 000 
Carburant: 135Lx10000 = 1 350 000/50x12 = 4 500
Communiqué radio(x50j): 150 000/12 = 12 500
Fourniture de bureau: 25 000/50 =500
TOTAL =  1 504 167</t>
        </r>
      </text>
    </comment>
    <comment ref="O55" authorId="0" shapeId="0">
      <text>
        <r>
          <rPr>
            <b/>
            <sz val="9"/>
            <color indexed="81"/>
            <rFont val="Tahoma"/>
            <family val="2"/>
          </rPr>
          <t>Abdoul A.. Diallo:</t>
        </r>
        <r>
          <rPr>
            <sz val="9"/>
            <color indexed="81"/>
            <rFont val="Tahoma"/>
            <family val="2"/>
          </rPr>
          <t xml:space="preserve">
Prix du Kit(1000 Kits): 320 000x1000 = 320 000 000/300 = 1 066 667
Perdiem(10 OPK+ 2 Sup)x50j: 420 000 
Carburant: 135Lx10000 = 1 350 000/50x12 = 4 500
Communiqué radio(x50j): 150 000/12 = 12 500
Fourniture de bureau: 25 000/50 =500
TOTAL =  1 504 167</t>
        </r>
      </text>
    </comment>
    <comment ref="U55" authorId="0" shapeId="0">
      <text>
        <r>
          <rPr>
            <b/>
            <sz val="9"/>
            <color indexed="81"/>
            <rFont val="Tahoma"/>
            <family val="2"/>
          </rPr>
          <t>Abdoul A.. Diallo:</t>
        </r>
        <r>
          <rPr>
            <sz val="9"/>
            <color indexed="81"/>
            <rFont val="Tahoma"/>
            <family val="2"/>
          </rPr>
          <t xml:space="preserve">
Prix du Kit(1000 Kits): 320 000x1000 = 320 000 000/300 = 1 066 667
Perdiem(10 OPK+ 2 Sup)x50j: 420 000 
Carburant: 135Lx10000 = 1 350 000/50x12 = 4 500
Communiqué radio(x50j): 150 000/12 = 12 500
Fourniture de bureau: 25 000/50 =500
TOTAL =  1 504 167</t>
        </r>
      </text>
    </comment>
    <comment ref="AA55" authorId="0" shapeId="0">
      <text>
        <r>
          <rPr>
            <b/>
            <sz val="9"/>
            <color indexed="81"/>
            <rFont val="Tahoma"/>
            <family val="2"/>
          </rPr>
          <t>Abdoul A.. Diallo:</t>
        </r>
        <r>
          <rPr>
            <sz val="9"/>
            <color indexed="81"/>
            <rFont val="Tahoma"/>
            <family val="2"/>
          </rPr>
          <t xml:space="preserve">
Prix du Kit(1000 Kits): 320 000x1000 = 320 000 000/300 = 1 066 667
Perdiem(10 OPK+ 2 Sup)x50j: 420 000 
Carburant: 135Lx10000 = 1 350 000/50x12 = 4 500
Communiqué radio(x50j): 150 000/12 = 12 500
Fourniture de bureau: 25 000/50 =500
TOTAL =  1 504 167</t>
        </r>
      </text>
    </comment>
    <comment ref="AG55" authorId="0" shapeId="0">
      <text>
        <r>
          <rPr>
            <b/>
            <sz val="9"/>
            <color indexed="81"/>
            <rFont val="Tahoma"/>
            <family val="2"/>
          </rPr>
          <t>Abdoul A.. Diallo:</t>
        </r>
        <r>
          <rPr>
            <sz val="9"/>
            <color indexed="81"/>
            <rFont val="Tahoma"/>
            <family val="2"/>
          </rPr>
          <t xml:space="preserve">
Prix du Kit(1000 Kits): 320 000x1000 = 320 000 000/300 = 1 066 667
Perdiem(10 OPK+ 2 Sup)x50j: 420 000 
Carburant: 135Lx10000 = 1 350 000/50x12 = 4 500
Communiqué radio(x50j): 150 000/12 = 12 500
Fourniture de bureau: 25 000/50 =500
TOTAL =  1 504 167</t>
        </r>
      </text>
    </comment>
    <comment ref="I56" authorId="2" shapeId="0">
      <text>
        <r>
          <rPr>
            <b/>
            <sz val="9"/>
            <color indexed="81"/>
            <rFont val="Tahoma"/>
            <family val="2"/>
          </rPr>
          <t xml:space="preserve">
</t>
        </r>
        <r>
          <rPr>
            <sz val="9"/>
            <color indexed="81"/>
            <rFont val="Tahoma"/>
            <family val="2"/>
          </rPr>
          <t xml:space="preserve">carb NC:2.790.000/10=279000
outils de gestion( fiche de recensement):50 000/10=5000
</t>
        </r>
        <r>
          <rPr>
            <b/>
            <sz val="9"/>
            <color indexed="81"/>
            <rFont val="Tahoma"/>
            <family val="2"/>
          </rPr>
          <t>Total:284000</t>
        </r>
      </text>
    </comment>
    <comment ref="J56" authorId="2" shapeId="0">
      <text>
        <r>
          <rPr>
            <b/>
            <sz val="9"/>
            <color indexed="81"/>
            <rFont val="Tahoma"/>
            <family val="2"/>
          </rPr>
          <t>nounkey:</t>
        </r>
        <r>
          <rPr>
            <sz val="9"/>
            <color indexed="81"/>
            <rFont val="Tahoma"/>
            <family val="2"/>
          </rPr>
          <t xml:space="preserve">
Pour les quatres régions</t>
        </r>
      </text>
    </comment>
    <comment ref="K56" authorId="2" shapeId="0">
      <text>
        <r>
          <rPr>
            <sz val="9"/>
            <color indexed="81"/>
            <rFont val="Tahoma"/>
            <family val="2"/>
          </rPr>
          <t xml:space="preserve">Durée mission:10
</t>
        </r>
      </text>
    </comment>
    <comment ref="O56" authorId="2" shapeId="0">
      <text>
        <r>
          <rPr>
            <b/>
            <sz val="9"/>
            <color indexed="81"/>
            <rFont val="Tahoma"/>
            <family val="2"/>
          </rPr>
          <t xml:space="preserve">
</t>
        </r>
        <r>
          <rPr>
            <sz val="9"/>
            <color indexed="81"/>
            <rFont val="Tahoma"/>
            <family val="2"/>
          </rPr>
          <t xml:space="preserve">carb NC:2.790.000/10=279000
outils de gestion( fiche de recensement):50 000/10=5000
</t>
        </r>
        <r>
          <rPr>
            <b/>
            <sz val="9"/>
            <color indexed="81"/>
            <rFont val="Tahoma"/>
            <family val="2"/>
          </rPr>
          <t>Total:284000</t>
        </r>
      </text>
    </comment>
    <comment ref="P56" authorId="2" shapeId="0">
      <text>
        <r>
          <rPr>
            <b/>
            <sz val="9"/>
            <color indexed="81"/>
            <rFont val="Tahoma"/>
            <family val="2"/>
          </rPr>
          <t>nounkey:</t>
        </r>
        <r>
          <rPr>
            <sz val="9"/>
            <color indexed="81"/>
            <rFont val="Tahoma"/>
            <family val="2"/>
          </rPr>
          <t xml:space="preserve">
Pour les quatres régions</t>
        </r>
      </text>
    </comment>
    <comment ref="Q56" authorId="2" shapeId="0">
      <text>
        <r>
          <rPr>
            <sz val="9"/>
            <color indexed="81"/>
            <rFont val="Tahoma"/>
            <family val="2"/>
          </rPr>
          <t xml:space="preserve">Durée mission:10
</t>
        </r>
      </text>
    </comment>
    <comment ref="U56" authorId="2" shapeId="0">
      <text>
        <r>
          <rPr>
            <b/>
            <sz val="9"/>
            <color indexed="81"/>
            <rFont val="Tahoma"/>
            <family val="2"/>
          </rPr>
          <t xml:space="preserve">
</t>
        </r>
        <r>
          <rPr>
            <sz val="9"/>
            <color indexed="81"/>
            <rFont val="Tahoma"/>
            <family val="2"/>
          </rPr>
          <t xml:space="preserve">carb NC:2.790.000/10=279000
outils de gestion( fiche de recensement):50 000/10=5000
</t>
        </r>
        <r>
          <rPr>
            <b/>
            <sz val="9"/>
            <color indexed="81"/>
            <rFont val="Tahoma"/>
            <family val="2"/>
          </rPr>
          <t>Total:284000</t>
        </r>
      </text>
    </comment>
    <comment ref="V56" authorId="2" shapeId="0">
      <text>
        <r>
          <rPr>
            <b/>
            <sz val="9"/>
            <color indexed="81"/>
            <rFont val="Tahoma"/>
            <family val="2"/>
          </rPr>
          <t>nounkey:</t>
        </r>
        <r>
          <rPr>
            <sz val="9"/>
            <color indexed="81"/>
            <rFont val="Tahoma"/>
            <family val="2"/>
          </rPr>
          <t xml:space="preserve">
Pour les quatres régions</t>
        </r>
      </text>
    </comment>
    <comment ref="W56" authorId="2" shapeId="0">
      <text>
        <r>
          <rPr>
            <sz val="9"/>
            <color indexed="81"/>
            <rFont val="Tahoma"/>
            <family val="2"/>
          </rPr>
          <t xml:space="preserve">Durée mission:10
</t>
        </r>
      </text>
    </comment>
    <comment ref="AA56" authorId="2" shapeId="0">
      <text>
        <r>
          <rPr>
            <b/>
            <sz val="9"/>
            <color indexed="81"/>
            <rFont val="Tahoma"/>
            <family val="2"/>
          </rPr>
          <t xml:space="preserve">
</t>
        </r>
        <r>
          <rPr>
            <sz val="9"/>
            <color indexed="81"/>
            <rFont val="Tahoma"/>
            <family val="2"/>
          </rPr>
          <t xml:space="preserve">carb NC:2.790.000/10=279000
outils de gestion( fiche de recensement):50 000/10=5000
</t>
        </r>
        <r>
          <rPr>
            <b/>
            <sz val="9"/>
            <color indexed="81"/>
            <rFont val="Tahoma"/>
            <family val="2"/>
          </rPr>
          <t>Total:284000</t>
        </r>
      </text>
    </comment>
    <comment ref="AB56" authorId="2" shapeId="0">
      <text>
        <r>
          <rPr>
            <b/>
            <sz val="9"/>
            <color indexed="81"/>
            <rFont val="Tahoma"/>
            <family val="2"/>
          </rPr>
          <t>nounkey:</t>
        </r>
        <r>
          <rPr>
            <sz val="9"/>
            <color indexed="81"/>
            <rFont val="Tahoma"/>
            <family val="2"/>
          </rPr>
          <t xml:space="preserve">
Pour les quatres régions</t>
        </r>
      </text>
    </comment>
    <comment ref="AC56" authorId="2" shapeId="0">
      <text>
        <r>
          <rPr>
            <sz val="9"/>
            <color indexed="81"/>
            <rFont val="Tahoma"/>
            <family val="2"/>
          </rPr>
          <t xml:space="preserve">Durée mission:10
</t>
        </r>
      </text>
    </comment>
    <comment ref="AG56" authorId="2" shapeId="0">
      <text>
        <r>
          <rPr>
            <b/>
            <sz val="9"/>
            <color indexed="81"/>
            <rFont val="Tahoma"/>
            <family val="2"/>
          </rPr>
          <t xml:space="preserve">
</t>
        </r>
        <r>
          <rPr>
            <sz val="9"/>
            <color indexed="81"/>
            <rFont val="Tahoma"/>
            <family val="2"/>
          </rPr>
          <t xml:space="preserve">carb NC:2.790.000/10=279000
outils de gestion( fiche de recensement):50 000/10=5000
</t>
        </r>
        <r>
          <rPr>
            <b/>
            <sz val="9"/>
            <color indexed="81"/>
            <rFont val="Tahoma"/>
            <family val="2"/>
          </rPr>
          <t>Total:284000</t>
        </r>
      </text>
    </comment>
    <comment ref="AH56" authorId="2" shapeId="0">
      <text>
        <r>
          <rPr>
            <b/>
            <sz val="9"/>
            <color indexed="81"/>
            <rFont val="Tahoma"/>
            <family val="2"/>
          </rPr>
          <t>nounkey:</t>
        </r>
        <r>
          <rPr>
            <sz val="9"/>
            <color indexed="81"/>
            <rFont val="Tahoma"/>
            <family val="2"/>
          </rPr>
          <t xml:space="preserve">
Pour les quatres régions</t>
        </r>
      </text>
    </comment>
    <comment ref="AI56" authorId="2" shapeId="0">
      <text>
        <r>
          <rPr>
            <sz val="9"/>
            <color indexed="81"/>
            <rFont val="Tahoma"/>
            <family val="2"/>
          </rPr>
          <t xml:space="preserve">Durée mission:10
</t>
        </r>
      </text>
    </comment>
    <comment ref="I57" authorId="2" shapeId="0">
      <text>
        <r>
          <rPr>
            <sz val="9"/>
            <color indexed="81"/>
            <rFont val="Tahoma"/>
            <family val="2"/>
          </rPr>
          <t xml:space="preserve">
perdiem:38ISL+8cadreNC+8chauffeurs:420.000
Car moto:5l:500.000/10jr=50000
Total:</t>
        </r>
      </text>
    </comment>
    <comment ref="J57" authorId="2" shapeId="0">
      <text>
        <r>
          <rPr>
            <b/>
            <sz val="9"/>
            <color indexed="81"/>
            <rFont val="Tahoma"/>
            <family val="2"/>
          </rPr>
          <t>nounkey:</t>
        </r>
        <r>
          <rPr>
            <sz val="9"/>
            <color indexed="81"/>
            <rFont val="Tahoma"/>
            <family val="2"/>
          </rPr>
          <t xml:space="preserve">
38 ISL+8 cadres +8 chauffeurs</t>
        </r>
      </text>
    </comment>
    <comment ref="O57" authorId="2" shapeId="0">
      <text>
        <r>
          <rPr>
            <sz val="9"/>
            <color indexed="81"/>
            <rFont val="Tahoma"/>
            <family val="2"/>
          </rPr>
          <t xml:space="preserve">
perdiem:38ISL+8cadreNC+8chauffeurs:420.000
Car moto:5l:500.000/10jr=50000
Total:</t>
        </r>
      </text>
    </comment>
    <comment ref="P57" authorId="2" shapeId="0">
      <text>
        <r>
          <rPr>
            <b/>
            <sz val="9"/>
            <color indexed="81"/>
            <rFont val="Tahoma"/>
            <family val="2"/>
          </rPr>
          <t>nounkey:</t>
        </r>
        <r>
          <rPr>
            <sz val="9"/>
            <color indexed="81"/>
            <rFont val="Tahoma"/>
            <family val="2"/>
          </rPr>
          <t xml:space="preserve">
38 ISL+8 cadres +8 chauffeurs</t>
        </r>
      </text>
    </comment>
    <comment ref="U57" authorId="2" shapeId="0">
      <text>
        <r>
          <rPr>
            <sz val="9"/>
            <color indexed="81"/>
            <rFont val="Tahoma"/>
            <family val="2"/>
          </rPr>
          <t xml:space="preserve">
perdiem:38ISL+8cadreNC+8chauffeurs:420.000
Car moto:5l:500.000/10jr=50000
Total:</t>
        </r>
      </text>
    </comment>
    <comment ref="V57" authorId="2" shapeId="0">
      <text>
        <r>
          <rPr>
            <b/>
            <sz val="9"/>
            <color indexed="81"/>
            <rFont val="Tahoma"/>
            <family val="2"/>
          </rPr>
          <t>nounkey:</t>
        </r>
        <r>
          <rPr>
            <sz val="9"/>
            <color indexed="81"/>
            <rFont val="Tahoma"/>
            <family val="2"/>
          </rPr>
          <t xml:space="preserve">
38 ISL+8 cadres +8 chauffeurs</t>
        </r>
      </text>
    </comment>
    <comment ref="AA57" authorId="2" shapeId="0">
      <text>
        <r>
          <rPr>
            <sz val="9"/>
            <color indexed="81"/>
            <rFont val="Tahoma"/>
            <family val="2"/>
          </rPr>
          <t xml:space="preserve">
perdiem:38ISL+8cadreNC+8chauffeurs:420.000
Car moto:5l:500.000/10jr=50000
Total:</t>
        </r>
      </text>
    </comment>
    <comment ref="AB57" authorId="2" shapeId="0">
      <text>
        <r>
          <rPr>
            <b/>
            <sz val="9"/>
            <color indexed="81"/>
            <rFont val="Tahoma"/>
            <family val="2"/>
          </rPr>
          <t>nounkey:</t>
        </r>
        <r>
          <rPr>
            <sz val="9"/>
            <color indexed="81"/>
            <rFont val="Tahoma"/>
            <family val="2"/>
          </rPr>
          <t xml:space="preserve">
38 ISL+8 cadres +8 chauffeurs</t>
        </r>
      </text>
    </comment>
    <comment ref="AG57" authorId="2" shapeId="0">
      <text>
        <r>
          <rPr>
            <sz val="9"/>
            <color indexed="81"/>
            <rFont val="Tahoma"/>
            <family val="2"/>
          </rPr>
          <t xml:space="preserve">
perdiem:38ISL+8cadreNC+8chauffeurs:420.000
Car moto:5l:500.000/10jr=50000
Total:</t>
        </r>
      </text>
    </comment>
    <comment ref="AH57" authorId="2" shapeId="0">
      <text>
        <r>
          <rPr>
            <b/>
            <sz val="9"/>
            <color indexed="81"/>
            <rFont val="Tahoma"/>
            <family val="2"/>
          </rPr>
          <t>nounkey:</t>
        </r>
        <r>
          <rPr>
            <sz val="9"/>
            <color indexed="81"/>
            <rFont val="Tahoma"/>
            <family val="2"/>
          </rPr>
          <t xml:space="preserve">
38 ISL+8 cadres +8 chauffeurs</t>
        </r>
      </text>
    </comment>
    <comment ref="I58" authorId="2" shapeId="0">
      <text>
        <r>
          <rPr>
            <b/>
            <sz val="9"/>
            <color indexed="81"/>
            <rFont val="Tahoma"/>
            <family val="2"/>
          </rPr>
          <t>nounkey:</t>
        </r>
        <r>
          <rPr>
            <sz val="9"/>
            <color indexed="81"/>
            <rFont val="Tahoma"/>
            <family val="2"/>
          </rPr>
          <t xml:space="preserve">
Remise de
kiosque:3.500.000  àraison de 20 mutillée par région,500 000 frais installation kiosque
</t>
        </r>
        <r>
          <rPr>
            <b/>
            <sz val="9"/>
            <color indexed="81"/>
            <rFont val="Tahoma"/>
            <family val="2"/>
          </rPr>
          <t>Total:80 000 000</t>
        </r>
      </text>
    </comment>
    <comment ref="J58" authorId="2" shapeId="0">
      <text>
        <r>
          <rPr>
            <b/>
            <sz val="9"/>
            <color indexed="81"/>
            <rFont val="Tahoma"/>
            <family val="2"/>
          </rPr>
          <t>nounkey:</t>
        </r>
        <r>
          <rPr>
            <sz val="9"/>
            <color indexed="81"/>
            <rFont val="Tahoma"/>
            <family val="2"/>
          </rPr>
          <t xml:space="preserve">
20 mutillée par région</t>
        </r>
      </text>
    </comment>
    <comment ref="O58" authorId="2" shapeId="0">
      <text>
        <r>
          <rPr>
            <b/>
            <sz val="9"/>
            <color indexed="81"/>
            <rFont val="Tahoma"/>
            <family val="2"/>
          </rPr>
          <t>nounkey:</t>
        </r>
        <r>
          <rPr>
            <sz val="9"/>
            <color indexed="81"/>
            <rFont val="Tahoma"/>
            <family val="2"/>
          </rPr>
          <t xml:space="preserve">
Remise de
kiosque:3.500.000  àraison de 20 mutillée par région,500 000 frais installation kiosque
</t>
        </r>
        <r>
          <rPr>
            <b/>
            <sz val="9"/>
            <color indexed="81"/>
            <rFont val="Tahoma"/>
            <family val="2"/>
          </rPr>
          <t>Total:80 000 000</t>
        </r>
      </text>
    </comment>
    <comment ref="P58" authorId="2" shapeId="0">
      <text>
        <r>
          <rPr>
            <b/>
            <sz val="9"/>
            <color indexed="81"/>
            <rFont val="Tahoma"/>
            <family val="2"/>
          </rPr>
          <t>nounkey:</t>
        </r>
        <r>
          <rPr>
            <sz val="9"/>
            <color indexed="81"/>
            <rFont val="Tahoma"/>
            <family val="2"/>
          </rPr>
          <t xml:space="preserve">
20 mutillée par région</t>
        </r>
      </text>
    </comment>
    <comment ref="U58" authorId="2" shapeId="0">
      <text>
        <r>
          <rPr>
            <b/>
            <sz val="9"/>
            <color indexed="81"/>
            <rFont val="Tahoma"/>
            <family val="2"/>
          </rPr>
          <t>nounkey:</t>
        </r>
        <r>
          <rPr>
            <sz val="9"/>
            <color indexed="81"/>
            <rFont val="Tahoma"/>
            <family val="2"/>
          </rPr>
          <t xml:space="preserve">
Remise de
kiosque:3.500.000  àraison de 20 mutillée par région,500 000 frais installation kiosque
</t>
        </r>
        <r>
          <rPr>
            <b/>
            <sz val="9"/>
            <color indexed="81"/>
            <rFont val="Tahoma"/>
            <family val="2"/>
          </rPr>
          <t>Total:80 000 000</t>
        </r>
      </text>
    </comment>
    <comment ref="V58" authorId="2" shapeId="0">
      <text>
        <r>
          <rPr>
            <b/>
            <sz val="9"/>
            <color indexed="81"/>
            <rFont val="Tahoma"/>
            <family val="2"/>
          </rPr>
          <t>nounkey:</t>
        </r>
        <r>
          <rPr>
            <sz val="9"/>
            <color indexed="81"/>
            <rFont val="Tahoma"/>
            <family val="2"/>
          </rPr>
          <t xml:space="preserve">
20 mutillée par région</t>
        </r>
      </text>
    </comment>
    <comment ref="AA58" authorId="2" shapeId="0">
      <text>
        <r>
          <rPr>
            <b/>
            <sz val="9"/>
            <color indexed="81"/>
            <rFont val="Tahoma"/>
            <family val="2"/>
          </rPr>
          <t>nounkey:</t>
        </r>
        <r>
          <rPr>
            <sz val="9"/>
            <color indexed="81"/>
            <rFont val="Tahoma"/>
            <family val="2"/>
          </rPr>
          <t xml:space="preserve">
Remise de
kiosque:3.500.000  àraison de 20 mutillée par région,500 000 frais installation kiosque
</t>
        </r>
        <r>
          <rPr>
            <b/>
            <sz val="9"/>
            <color indexed="81"/>
            <rFont val="Tahoma"/>
            <family val="2"/>
          </rPr>
          <t>Total:80 000 000</t>
        </r>
      </text>
    </comment>
    <comment ref="AB58" authorId="2" shapeId="0">
      <text>
        <r>
          <rPr>
            <b/>
            <sz val="9"/>
            <color indexed="81"/>
            <rFont val="Tahoma"/>
            <family val="2"/>
          </rPr>
          <t>nounkey:</t>
        </r>
        <r>
          <rPr>
            <sz val="9"/>
            <color indexed="81"/>
            <rFont val="Tahoma"/>
            <family val="2"/>
          </rPr>
          <t xml:space="preserve">
20 mutillée par région</t>
        </r>
      </text>
    </comment>
    <comment ref="AG58" authorId="2" shapeId="0">
      <text>
        <r>
          <rPr>
            <b/>
            <sz val="9"/>
            <color indexed="81"/>
            <rFont val="Tahoma"/>
            <family val="2"/>
          </rPr>
          <t>nounkey:</t>
        </r>
        <r>
          <rPr>
            <sz val="9"/>
            <color indexed="81"/>
            <rFont val="Tahoma"/>
            <family val="2"/>
          </rPr>
          <t xml:space="preserve">
Remise de
kiosque:3.500.000  àraison de 20 mutillée par région,500 000 frais installation kiosque
</t>
        </r>
        <r>
          <rPr>
            <b/>
            <sz val="9"/>
            <color indexed="81"/>
            <rFont val="Tahoma"/>
            <family val="2"/>
          </rPr>
          <t>Total:80 000 000</t>
        </r>
      </text>
    </comment>
    <comment ref="AH58" authorId="2" shapeId="0">
      <text>
        <r>
          <rPr>
            <b/>
            <sz val="9"/>
            <color indexed="81"/>
            <rFont val="Tahoma"/>
            <family val="2"/>
          </rPr>
          <t>nounkey:</t>
        </r>
        <r>
          <rPr>
            <sz val="9"/>
            <color indexed="81"/>
            <rFont val="Tahoma"/>
            <family val="2"/>
          </rPr>
          <t xml:space="preserve">
20 mutillée par région</t>
        </r>
      </text>
    </comment>
    <comment ref="I59" authorId="2" shapeId="0">
      <text>
        <r>
          <rPr>
            <sz val="9"/>
            <color indexed="81"/>
            <rFont val="Tahoma"/>
            <family val="2"/>
          </rPr>
          <t xml:space="preserve">
fonds com:1 000 000</t>
        </r>
      </text>
    </comment>
    <comment ref="J59" authorId="2" shapeId="0">
      <text>
        <r>
          <rPr>
            <b/>
            <sz val="9"/>
            <color indexed="81"/>
            <rFont val="Tahoma"/>
            <family val="2"/>
          </rPr>
          <t>nounkey:</t>
        </r>
        <r>
          <rPr>
            <sz val="9"/>
            <color indexed="81"/>
            <rFont val="Tahoma"/>
            <family val="2"/>
          </rPr>
          <t xml:space="preserve">
20 mutillée par région</t>
        </r>
      </text>
    </comment>
    <comment ref="O59" authorId="2" shapeId="0">
      <text>
        <r>
          <rPr>
            <sz val="9"/>
            <color indexed="81"/>
            <rFont val="Tahoma"/>
            <family val="2"/>
          </rPr>
          <t xml:space="preserve">
fonds com:1 000 000</t>
        </r>
      </text>
    </comment>
    <comment ref="P59" authorId="2" shapeId="0">
      <text>
        <r>
          <rPr>
            <b/>
            <sz val="9"/>
            <color indexed="81"/>
            <rFont val="Tahoma"/>
            <family val="2"/>
          </rPr>
          <t>nounkey:</t>
        </r>
        <r>
          <rPr>
            <sz val="9"/>
            <color indexed="81"/>
            <rFont val="Tahoma"/>
            <family val="2"/>
          </rPr>
          <t xml:space="preserve">
20 mutillée par région</t>
        </r>
      </text>
    </comment>
    <comment ref="U59" authorId="2" shapeId="0">
      <text>
        <r>
          <rPr>
            <sz val="9"/>
            <color indexed="81"/>
            <rFont val="Tahoma"/>
            <family val="2"/>
          </rPr>
          <t xml:space="preserve">
fonds com:1 000 000</t>
        </r>
      </text>
    </comment>
    <comment ref="V59" authorId="2" shapeId="0">
      <text>
        <r>
          <rPr>
            <b/>
            <sz val="9"/>
            <color indexed="81"/>
            <rFont val="Tahoma"/>
            <family val="2"/>
          </rPr>
          <t>nounkey:</t>
        </r>
        <r>
          <rPr>
            <sz val="9"/>
            <color indexed="81"/>
            <rFont val="Tahoma"/>
            <family val="2"/>
          </rPr>
          <t xml:space="preserve">
20 mutillée par région</t>
        </r>
      </text>
    </comment>
    <comment ref="AA59" authorId="2" shapeId="0">
      <text>
        <r>
          <rPr>
            <sz val="9"/>
            <color indexed="81"/>
            <rFont val="Tahoma"/>
            <family val="2"/>
          </rPr>
          <t xml:space="preserve">
fonds com:1 000 000</t>
        </r>
      </text>
    </comment>
    <comment ref="AB59" authorId="2" shapeId="0">
      <text>
        <r>
          <rPr>
            <b/>
            <sz val="9"/>
            <color indexed="81"/>
            <rFont val="Tahoma"/>
            <family val="2"/>
          </rPr>
          <t>nounkey:</t>
        </r>
        <r>
          <rPr>
            <sz val="9"/>
            <color indexed="81"/>
            <rFont val="Tahoma"/>
            <family val="2"/>
          </rPr>
          <t xml:space="preserve">
20 mutillée par région</t>
        </r>
      </text>
    </comment>
    <comment ref="AG59" authorId="2" shapeId="0">
      <text>
        <r>
          <rPr>
            <sz val="9"/>
            <color indexed="81"/>
            <rFont val="Tahoma"/>
            <family val="2"/>
          </rPr>
          <t xml:space="preserve">
fonds com:1 000 000</t>
        </r>
      </text>
    </comment>
    <comment ref="AH59" authorId="2" shapeId="0">
      <text>
        <r>
          <rPr>
            <b/>
            <sz val="9"/>
            <color indexed="81"/>
            <rFont val="Tahoma"/>
            <family val="2"/>
          </rPr>
          <t>nounkey:</t>
        </r>
        <r>
          <rPr>
            <sz val="9"/>
            <color indexed="81"/>
            <rFont val="Tahoma"/>
            <family val="2"/>
          </rPr>
          <t xml:space="preserve">
20 mutillée par région</t>
        </r>
      </text>
    </comment>
    <comment ref="I60" authorId="2" shapeId="0">
      <text>
        <r>
          <rPr>
            <b/>
            <sz val="9"/>
            <color indexed="81"/>
            <rFont val="Tahoma"/>
            <family val="2"/>
          </rPr>
          <t xml:space="preserve">nounkey:
</t>
        </r>
        <r>
          <rPr>
            <sz val="9"/>
            <color indexed="81"/>
            <rFont val="Tahoma"/>
            <family val="2"/>
          </rPr>
          <t xml:space="preserve">Animation radio communautaire/mois:1000000
</t>
        </r>
        <r>
          <rPr>
            <b/>
            <sz val="9"/>
            <color indexed="81"/>
            <rFont val="Tahoma"/>
            <family val="2"/>
          </rPr>
          <t xml:space="preserve">
</t>
        </r>
      </text>
    </comment>
    <comment ref="O60" authorId="2" shapeId="0">
      <text>
        <r>
          <rPr>
            <b/>
            <sz val="9"/>
            <color indexed="81"/>
            <rFont val="Tahoma"/>
            <family val="2"/>
          </rPr>
          <t xml:space="preserve">nounkey:
</t>
        </r>
        <r>
          <rPr>
            <sz val="9"/>
            <color indexed="81"/>
            <rFont val="Tahoma"/>
            <family val="2"/>
          </rPr>
          <t xml:space="preserve">Animation radio communautaire/mois:1000000
</t>
        </r>
        <r>
          <rPr>
            <b/>
            <sz val="9"/>
            <color indexed="81"/>
            <rFont val="Tahoma"/>
            <family val="2"/>
          </rPr>
          <t xml:space="preserve">
</t>
        </r>
      </text>
    </comment>
    <comment ref="U60" authorId="2" shapeId="0">
      <text>
        <r>
          <rPr>
            <b/>
            <sz val="9"/>
            <color indexed="81"/>
            <rFont val="Tahoma"/>
            <family val="2"/>
          </rPr>
          <t xml:space="preserve">nounkey:
</t>
        </r>
        <r>
          <rPr>
            <sz val="9"/>
            <color indexed="81"/>
            <rFont val="Tahoma"/>
            <family val="2"/>
          </rPr>
          <t xml:space="preserve">Animation radio communautaire/mois:1000000
</t>
        </r>
        <r>
          <rPr>
            <b/>
            <sz val="9"/>
            <color indexed="81"/>
            <rFont val="Tahoma"/>
            <family val="2"/>
          </rPr>
          <t xml:space="preserve">
</t>
        </r>
      </text>
    </comment>
    <comment ref="AA60" authorId="2" shapeId="0">
      <text>
        <r>
          <rPr>
            <b/>
            <sz val="9"/>
            <color indexed="81"/>
            <rFont val="Tahoma"/>
            <family val="2"/>
          </rPr>
          <t xml:space="preserve">nounkey:
</t>
        </r>
        <r>
          <rPr>
            <sz val="9"/>
            <color indexed="81"/>
            <rFont val="Tahoma"/>
            <family val="2"/>
          </rPr>
          <t xml:space="preserve">Animation radio communautaire/mois:1000000
</t>
        </r>
        <r>
          <rPr>
            <b/>
            <sz val="9"/>
            <color indexed="81"/>
            <rFont val="Tahoma"/>
            <family val="2"/>
          </rPr>
          <t xml:space="preserve">
</t>
        </r>
      </text>
    </comment>
    <comment ref="AG60" authorId="2" shapeId="0">
      <text>
        <r>
          <rPr>
            <b/>
            <sz val="9"/>
            <color indexed="81"/>
            <rFont val="Tahoma"/>
            <family val="2"/>
          </rPr>
          <t xml:space="preserve">nounkey:
</t>
        </r>
        <r>
          <rPr>
            <sz val="9"/>
            <color indexed="81"/>
            <rFont val="Tahoma"/>
            <family val="2"/>
          </rPr>
          <t xml:space="preserve">Animation radio communautaire/mois:1000000
</t>
        </r>
        <r>
          <rPr>
            <b/>
            <sz val="9"/>
            <color indexed="81"/>
            <rFont val="Tahoma"/>
            <family val="2"/>
          </rPr>
          <t xml:space="preserve">
</t>
        </r>
      </text>
    </comment>
    <comment ref="I61" authorId="2" shapeId="0">
      <text>
        <r>
          <rPr>
            <b/>
            <sz val="9"/>
            <color indexed="81"/>
            <rFont val="Tahoma"/>
            <family val="2"/>
          </rPr>
          <t>nounkey:</t>
        </r>
        <r>
          <rPr>
            <sz val="9"/>
            <color indexed="81"/>
            <rFont val="Tahoma"/>
            <family val="2"/>
          </rPr>
          <t xml:space="preserve">
boite à image:15/district sanitaire forfait 500 000</t>
        </r>
      </text>
    </comment>
    <comment ref="J61" authorId="2" shapeId="0">
      <text>
        <r>
          <rPr>
            <sz val="9"/>
            <color indexed="81"/>
            <rFont val="Tahoma"/>
            <family val="2"/>
          </rPr>
          <t xml:space="preserve">38 districts *15 boites par districts
</t>
        </r>
      </text>
    </comment>
    <comment ref="O61" authorId="2" shapeId="0">
      <text>
        <r>
          <rPr>
            <b/>
            <sz val="9"/>
            <color indexed="81"/>
            <rFont val="Tahoma"/>
            <family val="2"/>
          </rPr>
          <t>nounkey:</t>
        </r>
        <r>
          <rPr>
            <sz val="9"/>
            <color indexed="81"/>
            <rFont val="Tahoma"/>
            <family val="2"/>
          </rPr>
          <t xml:space="preserve">
boite à image:15/district sanitaire forfait 500 000</t>
        </r>
      </text>
    </comment>
    <comment ref="P61" authorId="2" shapeId="0">
      <text>
        <r>
          <rPr>
            <sz val="9"/>
            <color indexed="81"/>
            <rFont val="Tahoma"/>
            <family val="2"/>
          </rPr>
          <t xml:space="preserve">38 districts *15 boites par districts
</t>
        </r>
      </text>
    </comment>
    <comment ref="U61" authorId="2" shapeId="0">
      <text>
        <r>
          <rPr>
            <b/>
            <sz val="9"/>
            <color indexed="81"/>
            <rFont val="Tahoma"/>
            <family val="2"/>
          </rPr>
          <t>nounkey:</t>
        </r>
        <r>
          <rPr>
            <sz val="9"/>
            <color indexed="81"/>
            <rFont val="Tahoma"/>
            <family val="2"/>
          </rPr>
          <t xml:space="preserve">
boite à image:15/district sanitaire forfait 500 000</t>
        </r>
      </text>
    </comment>
    <comment ref="V61" authorId="2" shapeId="0">
      <text>
        <r>
          <rPr>
            <sz val="9"/>
            <color indexed="81"/>
            <rFont val="Tahoma"/>
            <family val="2"/>
          </rPr>
          <t xml:space="preserve">38 districts *15 boites par districts
</t>
        </r>
      </text>
    </comment>
    <comment ref="AA61" authorId="2" shapeId="0">
      <text>
        <r>
          <rPr>
            <b/>
            <sz val="9"/>
            <color indexed="81"/>
            <rFont val="Tahoma"/>
            <family val="2"/>
          </rPr>
          <t>nounkey:</t>
        </r>
        <r>
          <rPr>
            <sz val="9"/>
            <color indexed="81"/>
            <rFont val="Tahoma"/>
            <family val="2"/>
          </rPr>
          <t xml:space="preserve">
boite à image:15/district sanitaire forfait 500 000</t>
        </r>
      </text>
    </comment>
    <comment ref="AB61" authorId="2" shapeId="0">
      <text>
        <r>
          <rPr>
            <sz val="9"/>
            <color indexed="81"/>
            <rFont val="Tahoma"/>
            <family val="2"/>
          </rPr>
          <t xml:space="preserve">38 districts *15 boites par districts
</t>
        </r>
      </text>
    </comment>
    <comment ref="AG61" authorId="2" shapeId="0">
      <text>
        <r>
          <rPr>
            <b/>
            <sz val="9"/>
            <color indexed="81"/>
            <rFont val="Tahoma"/>
            <family val="2"/>
          </rPr>
          <t>nounkey:</t>
        </r>
        <r>
          <rPr>
            <sz val="9"/>
            <color indexed="81"/>
            <rFont val="Tahoma"/>
            <family val="2"/>
          </rPr>
          <t xml:space="preserve">
boite à image:15/district sanitaire forfait 500 000</t>
        </r>
      </text>
    </comment>
    <comment ref="AH61" authorId="2" shapeId="0">
      <text>
        <r>
          <rPr>
            <sz val="9"/>
            <color indexed="81"/>
            <rFont val="Tahoma"/>
            <family val="2"/>
          </rPr>
          <t xml:space="preserve">38 districts *15 boites par districts
</t>
        </r>
      </text>
    </comment>
    <comment ref="I62" authorId="2" shapeId="0">
      <text>
        <r>
          <rPr>
            <sz val="9"/>
            <color indexed="81"/>
            <rFont val="Tahoma"/>
            <family val="2"/>
          </rPr>
          <t xml:space="preserve">
prothese:7000000
bequille:100000
chaussure:150 000
tricycle:2 000 000
Total:9 250 000
</t>
        </r>
      </text>
    </comment>
    <comment ref="J62" authorId="2" shapeId="0">
      <text>
        <r>
          <rPr>
            <b/>
            <sz val="9"/>
            <color indexed="81"/>
            <rFont val="Tahoma"/>
            <family val="2"/>
          </rPr>
          <t>nounkey:</t>
        </r>
        <r>
          <rPr>
            <sz val="9"/>
            <color indexed="81"/>
            <rFont val="Tahoma"/>
            <family val="2"/>
          </rPr>
          <t xml:space="preserve">
20 mutillée* 4 régions naturelles </t>
        </r>
      </text>
    </comment>
    <comment ref="O62" authorId="2" shapeId="0">
      <text>
        <r>
          <rPr>
            <sz val="9"/>
            <color indexed="81"/>
            <rFont val="Tahoma"/>
            <family val="2"/>
          </rPr>
          <t xml:space="preserve">
prothese:7000000
bequille:100000
chaussure:150 000
tricycle:2 000 000
Total:9 250 000
</t>
        </r>
      </text>
    </comment>
    <comment ref="P62" authorId="2" shapeId="0">
      <text>
        <r>
          <rPr>
            <b/>
            <sz val="9"/>
            <color indexed="81"/>
            <rFont val="Tahoma"/>
            <family val="2"/>
          </rPr>
          <t>nounkey:</t>
        </r>
        <r>
          <rPr>
            <sz val="9"/>
            <color indexed="81"/>
            <rFont val="Tahoma"/>
            <family val="2"/>
          </rPr>
          <t xml:space="preserve">
20 mutillée* 4 régions naturelles </t>
        </r>
      </text>
    </comment>
    <comment ref="U62" authorId="2" shapeId="0">
      <text>
        <r>
          <rPr>
            <sz val="9"/>
            <color indexed="81"/>
            <rFont val="Tahoma"/>
            <family val="2"/>
          </rPr>
          <t xml:space="preserve">
prothese:7000000
bequille:100000
chaussure:150 000
tricycle:2 000 000
Total:9 250 000
</t>
        </r>
      </text>
    </comment>
    <comment ref="V62" authorId="2" shapeId="0">
      <text>
        <r>
          <rPr>
            <b/>
            <sz val="9"/>
            <color indexed="81"/>
            <rFont val="Tahoma"/>
            <family val="2"/>
          </rPr>
          <t>nounkey:</t>
        </r>
        <r>
          <rPr>
            <sz val="9"/>
            <color indexed="81"/>
            <rFont val="Tahoma"/>
            <family val="2"/>
          </rPr>
          <t xml:space="preserve">
20 mutillée* 4 régions naturelles </t>
        </r>
      </text>
    </comment>
    <comment ref="AA62" authorId="2" shapeId="0">
      <text>
        <r>
          <rPr>
            <sz val="9"/>
            <color indexed="81"/>
            <rFont val="Tahoma"/>
            <family val="2"/>
          </rPr>
          <t xml:space="preserve">
prothese:7000000
bequille:100000
chaussure:150 000
tricycle:2 000 000
Total:9 250 000
</t>
        </r>
      </text>
    </comment>
    <comment ref="AB62" authorId="2" shapeId="0">
      <text>
        <r>
          <rPr>
            <b/>
            <sz val="9"/>
            <color indexed="81"/>
            <rFont val="Tahoma"/>
            <family val="2"/>
          </rPr>
          <t>nounkey:</t>
        </r>
        <r>
          <rPr>
            <sz val="9"/>
            <color indexed="81"/>
            <rFont val="Tahoma"/>
            <family val="2"/>
          </rPr>
          <t xml:space="preserve">
20 mutillée* 4 régions naturelles </t>
        </r>
      </text>
    </comment>
    <comment ref="AG62" authorId="2" shapeId="0">
      <text>
        <r>
          <rPr>
            <sz val="9"/>
            <color indexed="81"/>
            <rFont val="Tahoma"/>
            <family val="2"/>
          </rPr>
          <t xml:space="preserve">
prothese:7000000
bequille:100000
chaussure:150 000
tricycle:2 000 000
Total:9 250 000
</t>
        </r>
      </text>
    </comment>
    <comment ref="AH62" authorId="2" shapeId="0">
      <text>
        <r>
          <rPr>
            <b/>
            <sz val="9"/>
            <color indexed="81"/>
            <rFont val="Tahoma"/>
            <family val="2"/>
          </rPr>
          <t>nounkey:</t>
        </r>
        <r>
          <rPr>
            <sz val="9"/>
            <color indexed="81"/>
            <rFont val="Tahoma"/>
            <family val="2"/>
          </rPr>
          <t xml:space="preserve">
20 mutillée* 4 régions naturelles </t>
        </r>
      </text>
    </comment>
    <comment ref="I63" authorId="2" shapeId="0">
      <text>
        <r>
          <rPr>
            <b/>
            <sz val="9"/>
            <color indexed="81"/>
            <rFont val="Tahoma"/>
            <family val="2"/>
          </rPr>
          <t>nounkey:</t>
        </r>
        <r>
          <rPr>
            <sz val="9"/>
            <color indexed="81"/>
            <rFont val="Tahoma"/>
            <family val="2"/>
          </rPr>
          <t xml:space="preserve">
</t>
        </r>
      </text>
    </comment>
    <comment ref="I64" authorId="2" shapeId="0">
      <text>
        <r>
          <rPr>
            <b/>
            <sz val="8"/>
            <color indexed="81"/>
            <rFont val="Tahoma"/>
            <family val="2"/>
          </rPr>
          <t>nounkey:</t>
        </r>
        <r>
          <rPr>
            <sz val="8"/>
            <color indexed="81"/>
            <rFont val="Tahoma"/>
            <family val="2"/>
          </rPr>
          <t xml:space="preserve">
Frais d'émission radios comm de 5 Ds forfait:1 500 000/25= 60 000
Materiels de promotion(banderole, affiche, t-shirt, boîte à images...): 3 000 000/100 = 30 000
Frais superv: 420000/4 = 105000
Carb: 1 500 000/20= 75000
Total: 270 000</t>
        </r>
      </text>
    </comment>
    <comment ref="J64" authorId="2" shapeId="0">
      <text>
        <r>
          <rPr>
            <b/>
            <sz val="9"/>
            <color indexed="81"/>
            <rFont val="Tahoma"/>
            <family val="2"/>
          </rPr>
          <t>nounkey:</t>
        </r>
        <r>
          <rPr>
            <sz val="9"/>
            <color indexed="81"/>
            <rFont val="Tahoma"/>
            <family val="2"/>
          </rPr>
          <t xml:space="preserve">
5 DS *5 agents</t>
        </r>
      </text>
    </comment>
    <comment ref="O64" authorId="2" shapeId="0">
      <text>
        <r>
          <rPr>
            <b/>
            <sz val="8"/>
            <color indexed="81"/>
            <rFont val="Tahoma"/>
            <family val="2"/>
          </rPr>
          <t>nounkey:</t>
        </r>
        <r>
          <rPr>
            <sz val="8"/>
            <color indexed="81"/>
            <rFont val="Tahoma"/>
            <family val="2"/>
          </rPr>
          <t xml:space="preserve">
Frais d'émission radios comm de 5 Ds forfait:1 500 000/25= 60 000
Materiels de promotion(banderole, affiche, t-shirt, boîte à images...): 3 000 000/100 = 30 000
Frais superv: 420000/4 = 105000
Carb: 1 500 000/20= 75000
Total: 270 000</t>
        </r>
      </text>
    </comment>
    <comment ref="P64" authorId="2" shapeId="0">
      <text>
        <r>
          <rPr>
            <b/>
            <sz val="9"/>
            <color indexed="81"/>
            <rFont val="Tahoma"/>
            <family val="2"/>
          </rPr>
          <t>nounkey:</t>
        </r>
        <r>
          <rPr>
            <sz val="9"/>
            <color indexed="81"/>
            <rFont val="Tahoma"/>
            <family val="2"/>
          </rPr>
          <t xml:space="preserve">
5 DS *5 agents</t>
        </r>
      </text>
    </comment>
    <comment ref="U64" authorId="2" shapeId="0">
      <text>
        <r>
          <rPr>
            <b/>
            <sz val="8"/>
            <color indexed="81"/>
            <rFont val="Tahoma"/>
            <family val="2"/>
          </rPr>
          <t>nounkey:</t>
        </r>
        <r>
          <rPr>
            <sz val="8"/>
            <color indexed="81"/>
            <rFont val="Tahoma"/>
            <family val="2"/>
          </rPr>
          <t xml:space="preserve">
Frais d'émission radios comm de 5 Ds forfait:1 500 000/25= 60 000
Materiels de promotion(banderole, affiche, t-shirt, boîte à images...): 3 000 000/100 = 30 000
Frais superv: 420000/4 = 105000
Carb: 1 500 000/20= 75000
Total: 270 000</t>
        </r>
      </text>
    </comment>
    <comment ref="V64" authorId="2" shapeId="0">
      <text>
        <r>
          <rPr>
            <b/>
            <sz val="9"/>
            <color indexed="81"/>
            <rFont val="Tahoma"/>
            <family val="2"/>
          </rPr>
          <t>nounkey:</t>
        </r>
        <r>
          <rPr>
            <sz val="9"/>
            <color indexed="81"/>
            <rFont val="Tahoma"/>
            <family val="2"/>
          </rPr>
          <t xml:space="preserve">
5 DS *5 agents</t>
        </r>
      </text>
    </comment>
    <comment ref="AA64" authorId="2" shapeId="0">
      <text>
        <r>
          <rPr>
            <b/>
            <sz val="8"/>
            <color indexed="81"/>
            <rFont val="Tahoma"/>
            <family val="2"/>
          </rPr>
          <t>nounkey:</t>
        </r>
        <r>
          <rPr>
            <sz val="8"/>
            <color indexed="81"/>
            <rFont val="Tahoma"/>
            <family val="2"/>
          </rPr>
          <t xml:space="preserve">
Frais d'émission radios comm de 5 Ds forfait:1 500 000/25= 60 000
Materiels de promotion(banderole, affiche, t-shirt, boîte à images...): 3 000 000/100 = 30 000
Frais superv: 420000/4 = 105000
Carb: 1 500 000/20= 75000
Total: 270 000</t>
        </r>
      </text>
    </comment>
    <comment ref="AB64" authorId="2" shapeId="0">
      <text>
        <r>
          <rPr>
            <b/>
            <sz val="9"/>
            <color indexed="81"/>
            <rFont val="Tahoma"/>
            <family val="2"/>
          </rPr>
          <t>nounkey:</t>
        </r>
        <r>
          <rPr>
            <sz val="9"/>
            <color indexed="81"/>
            <rFont val="Tahoma"/>
            <family val="2"/>
          </rPr>
          <t xml:space="preserve">
5 DS *5 agents</t>
        </r>
      </text>
    </comment>
    <comment ref="AG64" authorId="2" shapeId="0">
      <text>
        <r>
          <rPr>
            <b/>
            <sz val="8"/>
            <color indexed="81"/>
            <rFont val="Tahoma"/>
            <family val="2"/>
          </rPr>
          <t>nounkey:</t>
        </r>
        <r>
          <rPr>
            <sz val="8"/>
            <color indexed="81"/>
            <rFont val="Tahoma"/>
            <family val="2"/>
          </rPr>
          <t xml:space="preserve">
Frais d'émission radios comm de 5 Ds forfait:1 500 000/25= 60 000
Materiels de promotion(banderole, affiche, t-shirt, boîte à images...): 3 000 000/100 = 30 000
Frais superv: 420000/4 = 105000
Carb: 1 500 000/20= 75000
Total: 270 000</t>
        </r>
      </text>
    </comment>
    <comment ref="AH64" authorId="2" shapeId="0">
      <text>
        <r>
          <rPr>
            <b/>
            <sz val="9"/>
            <color indexed="81"/>
            <rFont val="Tahoma"/>
            <family val="2"/>
          </rPr>
          <t>nounkey:</t>
        </r>
        <r>
          <rPr>
            <sz val="9"/>
            <color indexed="81"/>
            <rFont val="Tahoma"/>
            <family val="2"/>
          </rPr>
          <t xml:space="preserve">
5 DS *5 agents</t>
        </r>
      </text>
    </comment>
    <comment ref="I65" authorId="3" shapeId="0">
      <text>
        <r>
          <rPr>
            <b/>
            <sz val="9"/>
            <color indexed="81"/>
            <rFont val="Tahoma"/>
            <family val="2"/>
          </rPr>
          <t>moise kagbadouno:</t>
        </r>
        <r>
          <rPr>
            <sz val="9"/>
            <color indexed="81"/>
            <rFont val="Tahoma"/>
            <family val="2"/>
          </rPr>
          <t xml:space="preserve">
carb veh: 360000/6=60000
carb barq: 300000/6=50000
perd: 420000
fiches: 500000/336=1500
loc barq: 500000/6=84000
total=615500</t>
        </r>
      </text>
    </comment>
    <comment ref="O65" authorId="3" shapeId="0">
      <text>
        <r>
          <rPr>
            <b/>
            <sz val="9"/>
            <color indexed="81"/>
            <rFont val="Tahoma"/>
            <family val="2"/>
          </rPr>
          <t>moise kagbadouno:</t>
        </r>
        <r>
          <rPr>
            <sz val="9"/>
            <color indexed="81"/>
            <rFont val="Tahoma"/>
            <family val="2"/>
          </rPr>
          <t xml:space="preserve">
carb veh: 360000/6=60000
carb barq: 300000/6=50000
perd: 420000
fiches: 500000/336=1500
loc barq: 500000/6=84000
total=615500</t>
        </r>
      </text>
    </comment>
    <comment ref="U65" authorId="3" shapeId="0">
      <text>
        <r>
          <rPr>
            <b/>
            <sz val="9"/>
            <color indexed="81"/>
            <rFont val="Tahoma"/>
            <family val="2"/>
          </rPr>
          <t>moise kagbadouno:</t>
        </r>
        <r>
          <rPr>
            <sz val="9"/>
            <color indexed="81"/>
            <rFont val="Tahoma"/>
            <family val="2"/>
          </rPr>
          <t xml:space="preserve">
carb veh: 360000/6=60000
carb barq: 300000/6=50000
perd: 420000
fiches: 500000/336=1500
loc barq: 500000/6=84000
total=615500</t>
        </r>
      </text>
    </comment>
    <comment ref="AA65" authorId="3" shapeId="0">
      <text>
        <r>
          <rPr>
            <b/>
            <sz val="9"/>
            <color indexed="81"/>
            <rFont val="Tahoma"/>
            <family val="2"/>
          </rPr>
          <t>moise kagbadouno:</t>
        </r>
        <r>
          <rPr>
            <sz val="9"/>
            <color indexed="81"/>
            <rFont val="Tahoma"/>
            <family val="2"/>
          </rPr>
          <t xml:space="preserve">
carb veh: 360000/6=60000
carb barq: 300000/6=50000
perd: 420000
fiches: 500000/336=1500
loc barq: 500000/6=84000
total=615500</t>
        </r>
      </text>
    </comment>
    <comment ref="AG65" authorId="3" shapeId="0">
      <text>
        <r>
          <rPr>
            <b/>
            <sz val="9"/>
            <color indexed="81"/>
            <rFont val="Tahoma"/>
            <family val="2"/>
          </rPr>
          <t>moise kagbadouno:</t>
        </r>
        <r>
          <rPr>
            <sz val="9"/>
            <color indexed="81"/>
            <rFont val="Tahoma"/>
            <family val="2"/>
          </rPr>
          <t xml:space="preserve">
carb veh: 360000/6=60000
carb barq: 300000/6=50000
perd: 420000
fiches: 500000/336=1500
loc barq: 500000/6=84000
total=615500</t>
        </r>
      </text>
    </comment>
    <comment ref="I66" authorId="3" shapeId="0">
      <text>
        <r>
          <rPr>
            <b/>
            <sz val="9"/>
            <color indexed="81"/>
            <rFont val="Tahoma"/>
            <family val="2"/>
          </rPr>
          <t>moise kagbadouno:</t>
        </r>
        <r>
          <rPr>
            <sz val="9"/>
            <color indexed="81"/>
            <rFont val="Tahoma"/>
            <family val="2"/>
          </rPr>
          <t xml:space="preserve">
carb veh: 360000/12=30000
carb barq: 300000/12=25000
perd: 420000
fiches: 500000/360=1400
loc barq: 500000/12=42000
total=518400</t>
        </r>
      </text>
    </comment>
    <comment ref="O66" authorId="3" shapeId="0">
      <text>
        <r>
          <rPr>
            <b/>
            <sz val="9"/>
            <color indexed="81"/>
            <rFont val="Tahoma"/>
            <family val="2"/>
          </rPr>
          <t>moise kagbadouno:</t>
        </r>
        <r>
          <rPr>
            <sz val="9"/>
            <color indexed="81"/>
            <rFont val="Tahoma"/>
            <family val="2"/>
          </rPr>
          <t xml:space="preserve">
carb veh: 360000/12=30000
carb barq: 300000/12=25000
perd: 420000
fiches: 500000/360=1400
loc barq: 500000/12=42000
total=518400</t>
        </r>
      </text>
    </comment>
    <comment ref="U66" authorId="3" shapeId="0">
      <text>
        <r>
          <rPr>
            <b/>
            <sz val="9"/>
            <color indexed="81"/>
            <rFont val="Tahoma"/>
            <family val="2"/>
          </rPr>
          <t>moise kagbadouno:</t>
        </r>
        <r>
          <rPr>
            <sz val="9"/>
            <color indexed="81"/>
            <rFont val="Tahoma"/>
            <family val="2"/>
          </rPr>
          <t xml:space="preserve">
carb veh: 360000/12=30000
carb barq: 300000/12=25000
perd: 420000
fiches: 500000/360=1400
loc barq: 500000/12=42000
total=518400</t>
        </r>
      </text>
    </comment>
    <comment ref="AA66" authorId="3" shapeId="0">
      <text>
        <r>
          <rPr>
            <b/>
            <sz val="9"/>
            <color indexed="81"/>
            <rFont val="Tahoma"/>
            <family val="2"/>
          </rPr>
          <t>moise kagbadouno:</t>
        </r>
        <r>
          <rPr>
            <sz val="9"/>
            <color indexed="81"/>
            <rFont val="Tahoma"/>
            <family val="2"/>
          </rPr>
          <t xml:space="preserve">
carb veh: 360000/12=30000
carb barq: 300000/12=25000
perd: 420000
fiches: 500000/360=1400
loc barq: 500000/12=42000
total=518400</t>
        </r>
      </text>
    </comment>
    <comment ref="AG66" authorId="3" shapeId="0">
      <text>
        <r>
          <rPr>
            <b/>
            <sz val="9"/>
            <color indexed="81"/>
            <rFont val="Tahoma"/>
            <family val="2"/>
          </rPr>
          <t>moise kagbadouno:</t>
        </r>
        <r>
          <rPr>
            <sz val="9"/>
            <color indexed="81"/>
            <rFont val="Tahoma"/>
            <family val="2"/>
          </rPr>
          <t xml:space="preserve">
carb veh: 360000/12=30000
carb barq: 300000/12=25000
perd: 420000
fiches: 500000/360=1400
loc barq: 500000/12=42000
total=518400</t>
        </r>
      </text>
    </comment>
    <comment ref="I67" authorId="0" shapeId="0">
      <text>
        <r>
          <rPr>
            <b/>
            <sz val="9"/>
            <color indexed="81"/>
            <rFont val="Tahoma"/>
            <family val="2"/>
          </rPr>
          <t>Abdoul A.. Diallo:</t>
        </r>
        <r>
          <rPr>
            <sz val="9"/>
            <color indexed="81"/>
            <rFont val="Tahoma"/>
            <family val="2"/>
          </rPr>
          <t xml:space="preserve">
Animation radio communautaire/mois:1000000
Emission télé: 2 500 000
TOTAL = 3 500 000</t>
        </r>
      </text>
    </comment>
    <comment ref="O67" authorId="0" shapeId="0">
      <text>
        <r>
          <rPr>
            <b/>
            <sz val="9"/>
            <color indexed="81"/>
            <rFont val="Tahoma"/>
            <family val="2"/>
          </rPr>
          <t>Abdoul A.. Diallo:</t>
        </r>
        <r>
          <rPr>
            <sz val="9"/>
            <color indexed="81"/>
            <rFont val="Tahoma"/>
            <family val="2"/>
          </rPr>
          <t xml:space="preserve">
Animation radio communautaire/mois:1000000
</t>
        </r>
      </text>
    </comment>
    <comment ref="U67" authorId="0" shapeId="0">
      <text>
        <r>
          <rPr>
            <b/>
            <sz val="9"/>
            <color indexed="81"/>
            <rFont val="Tahoma"/>
            <family val="2"/>
          </rPr>
          <t>Abdoul A.. Diallo:</t>
        </r>
        <r>
          <rPr>
            <sz val="9"/>
            <color indexed="81"/>
            <rFont val="Tahoma"/>
            <family val="2"/>
          </rPr>
          <t xml:space="preserve">
Animation radio communautaire/mois:1000000
</t>
        </r>
      </text>
    </comment>
    <comment ref="AA67" authorId="0" shapeId="0">
      <text>
        <r>
          <rPr>
            <b/>
            <sz val="9"/>
            <color indexed="81"/>
            <rFont val="Tahoma"/>
            <family val="2"/>
          </rPr>
          <t>Abdoul A.. Diallo:</t>
        </r>
        <r>
          <rPr>
            <sz val="9"/>
            <color indexed="81"/>
            <rFont val="Tahoma"/>
            <family val="2"/>
          </rPr>
          <t xml:space="preserve">
Animation radio communautaire/mois:1000000
</t>
        </r>
      </text>
    </comment>
    <comment ref="AG67" authorId="0" shapeId="0">
      <text>
        <r>
          <rPr>
            <b/>
            <sz val="9"/>
            <color indexed="81"/>
            <rFont val="Tahoma"/>
            <family val="2"/>
          </rPr>
          <t>Abdoul A.. Diallo:</t>
        </r>
        <r>
          <rPr>
            <sz val="9"/>
            <color indexed="81"/>
            <rFont val="Tahoma"/>
            <family val="2"/>
          </rPr>
          <t xml:space="preserve">
Animation radio communautaire/mois:1000000
</t>
        </r>
      </text>
    </comment>
    <comment ref="I68" authorId="0" shapeId="0">
      <text>
        <r>
          <rPr>
            <b/>
            <sz val="9"/>
            <color indexed="81"/>
            <rFont val="Tahoma"/>
            <family val="2"/>
          </rPr>
          <t>Abdoul A.. Diallo:</t>
        </r>
        <r>
          <rPr>
            <sz val="9"/>
            <color indexed="81"/>
            <rFont val="Tahoma"/>
            <family val="2"/>
          </rPr>
          <t xml:space="preserve">
Animation radio communautaire/mois:1000000
Emission télé: 2 500 000
TOTAL = 3 500 000</t>
        </r>
      </text>
    </comment>
    <comment ref="I69" authorId="0" shapeId="0">
      <text>
        <r>
          <rPr>
            <b/>
            <sz val="9"/>
            <color indexed="81"/>
            <rFont val="Tahoma"/>
            <family val="2"/>
          </rPr>
          <t>Abdoul A.. Diallo:</t>
        </r>
        <r>
          <rPr>
            <sz val="9"/>
            <color indexed="81"/>
            <rFont val="Tahoma"/>
            <family val="2"/>
          </rPr>
          <t xml:space="preserve">
Location véhicule: 650 000x9veh/j /90= 65 000
Carburant: 135x10 000 x9 DS =
12 150 000/90 = 135 000
Perdiem (5 persx18 DSx15): 420 000
Matériels labo x 9 DS: 27 000 000/ = 20 000
TOTAL = 640000</t>
        </r>
      </text>
    </comment>
    <comment ref="O69" authorId="0" shapeId="0">
      <text>
        <r>
          <rPr>
            <b/>
            <sz val="9"/>
            <color indexed="81"/>
            <rFont val="Tahoma"/>
            <family val="2"/>
          </rPr>
          <t>Abdoul A.. Diallo:</t>
        </r>
        <r>
          <rPr>
            <sz val="9"/>
            <color indexed="81"/>
            <rFont val="Tahoma"/>
            <family val="2"/>
          </rPr>
          <t xml:space="preserve">
Location véhicule: 650 000/veh/j
Carburant: 135L  X10 000 =
1 350 000
Perdiem: 420 000
TOTAL = 2 420 000</t>
        </r>
      </text>
    </comment>
    <comment ref="U69" authorId="0" shapeId="0">
      <text>
        <r>
          <rPr>
            <b/>
            <sz val="9"/>
            <color indexed="81"/>
            <rFont val="Tahoma"/>
            <family val="2"/>
          </rPr>
          <t>Abdoul A.. Diallo:</t>
        </r>
        <r>
          <rPr>
            <sz val="9"/>
            <color indexed="81"/>
            <rFont val="Tahoma"/>
            <family val="2"/>
          </rPr>
          <t xml:space="preserve">
Location véhicule: 650 000/veh/j
Carburant: 135L  X10 000 =
1 350 000
Perdiem: 420 000
TOTAL = 2 420 000</t>
        </r>
      </text>
    </comment>
    <comment ref="AA69" authorId="0" shapeId="0">
      <text>
        <r>
          <rPr>
            <b/>
            <sz val="9"/>
            <color indexed="81"/>
            <rFont val="Tahoma"/>
            <family val="2"/>
          </rPr>
          <t>Abdoul A.. Diallo:</t>
        </r>
        <r>
          <rPr>
            <sz val="9"/>
            <color indexed="81"/>
            <rFont val="Tahoma"/>
            <family val="2"/>
          </rPr>
          <t xml:space="preserve">
Location véhicule: 650 000/veh/j
Carburant: 135L  X10 000 =
1 350 000
Perdiem: 420 000
TOTAL = 2 420 000</t>
        </r>
      </text>
    </comment>
    <comment ref="AG69" authorId="0" shapeId="0">
      <text>
        <r>
          <rPr>
            <b/>
            <sz val="9"/>
            <color indexed="81"/>
            <rFont val="Tahoma"/>
            <family val="2"/>
          </rPr>
          <t>Abdoul A.. Diallo:</t>
        </r>
        <r>
          <rPr>
            <sz val="9"/>
            <color indexed="81"/>
            <rFont val="Tahoma"/>
            <family val="2"/>
          </rPr>
          <t xml:space="preserve">
Location véhicule: 650 000/veh/j
Carburant: 135L  X10 000 =
1 350 000
Perdiem: 420 000
TOTAL = 2 420 000</t>
        </r>
      </text>
    </comment>
    <comment ref="I70" authorId="0" shapeId="0">
      <text>
        <r>
          <rPr>
            <b/>
            <sz val="9"/>
            <color indexed="81"/>
            <rFont val="Tahoma"/>
            <family val="2"/>
          </rPr>
          <t>Abdoul A.. Diallo:</t>
        </r>
        <r>
          <rPr>
            <sz val="9"/>
            <color indexed="81"/>
            <rFont val="Tahoma"/>
            <family val="2"/>
          </rPr>
          <t xml:space="preserve">
Location véhicule: 650 000x9veh/j /90= 65 000
Carburant: 135x10 000 x9 DS =
12 150 000/90 = 135 000
Perdiem (sup+chauf 2x9 x17): 420 000
Perdiem communautaire: 50 000
Matériels curage x 9 DS: 27 000 000/1530 = 17647
TOTAL = 687 647</t>
        </r>
      </text>
    </comment>
    <comment ref="I71" authorId="0" shapeId="0">
      <text>
        <r>
          <rPr>
            <b/>
            <sz val="9"/>
            <color indexed="81"/>
            <rFont val="Tahoma"/>
            <family val="2"/>
          </rPr>
          <t>Abdoul A.. Diallo:</t>
        </r>
        <r>
          <rPr>
            <sz val="9"/>
            <color indexed="81"/>
            <rFont val="Tahoma"/>
            <family val="2"/>
          </rPr>
          <t xml:space="preserve">
Perdiem: 35 Participants+ 10 Chauffeurs:420000 
 Carburant: 280l/Vehiculex10X10000=28000000/2jx45 =3 111 111
Fourniture de bureau: 25 000/Pers/2=12500
Location salle :1 000 000/45 = 22 222
TOTAL: 3 565 833</t>
        </r>
      </text>
    </comment>
    <comment ref="O71" authorId="0" shapeId="0">
      <text>
        <r>
          <rPr>
            <b/>
            <sz val="9"/>
            <color indexed="81"/>
            <rFont val="Tahoma"/>
            <family val="2"/>
          </rPr>
          <t>Abdoul A.. Diallo:</t>
        </r>
        <r>
          <rPr>
            <sz val="9"/>
            <color indexed="81"/>
            <rFont val="Tahoma"/>
            <family val="2"/>
          </rPr>
          <t xml:space="preserve">
Perdiem: 32 Participants+ 10 Chauffeurs:: 420000 
 10 
Carburant: 280l/Vehiculex10X10000=28000000/2jx42 = 3333,33
Fourniture de bureau: 25 000/Pers/2=12500
Location salle :1 000 000/42 = 23810
TOTAL: 459643</t>
        </r>
      </text>
    </comment>
    <comment ref="U71" authorId="0" shapeId="0">
      <text>
        <r>
          <rPr>
            <b/>
            <sz val="9"/>
            <color indexed="81"/>
            <rFont val="Tahoma"/>
            <family val="2"/>
          </rPr>
          <t>Abdoul A.. Diallo:</t>
        </r>
        <r>
          <rPr>
            <sz val="9"/>
            <color indexed="81"/>
            <rFont val="Tahoma"/>
            <family val="2"/>
          </rPr>
          <t xml:space="preserve">
Perdiem: 32 Participants+ 10 Chauffeurs:: 420000 
 10 
Carburant: 280l/Vehiculex10X10000=28000000/2jx42 = 3333,33
Fourniture de bureau: 25 000/Pers/2=12500
Location salle :1 000 000/42 = 23810
TOTAL: 459643</t>
        </r>
      </text>
    </comment>
    <comment ref="AA71" authorId="0" shapeId="0">
      <text>
        <r>
          <rPr>
            <b/>
            <sz val="9"/>
            <color indexed="81"/>
            <rFont val="Tahoma"/>
            <family val="2"/>
          </rPr>
          <t>Abdoul A.. Diallo:</t>
        </r>
        <r>
          <rPr>
            <sz val="9"/>
            <color indexed="81"/>
            <rFont val="Tahoma"/>
            <family val="2"/>
          </rPr>
          <t xml:space="preserve">
Perdiem: 32 Participants+ 10 Chauffeurs:: 420000 
 10 
Carburant: 280l/Vehiculex10X10000=28000000/2jx42 = 3333,33
Fourniture de bureau: 25 000/Pers/2=12500
Location salle :1 000 000/42 = 23810
TOTAL: 459643</t>
        </r>
      </text>
    </comment>
    <comment ref="AG71" authorId="0" shapeId="0">
      <text>
        <r>
          <rPr>
            <b/>
            <sz val="9"/>
            <color indexed="81"/>
            <rFont val="Tahoma"/>
            <family val="2"/>
          </rPr>
          <t>Abdoul A.. Diallo:</t>
        </r>
        <r>
          <rPr>
            <sz val="9"/>
            <color indexed="81"/>
            <rFont val="Tahoma"/>
            <family val="2"/>
          </rPr>
          <t xml:space="preserve">
Perdiem: 32 Participants+ 10 Chauffeurs:: 420000 
 10 
Carburant: 280l/Vehiculex10X10000=28000000/2jx42 = 3333,33
Fourniture de bureau: 25 000/Pers/2=12500
Location salle :1 000 000/42 = 23810
TOTAL: 459643</t>
        </r>
      </text>
    </comment>
    <comment ref="I72" authorId="0" shapeId="0">
      <text>
        <r>
          <rPr>
            <b/>
            <sz val="9"/>
            <color indexed="81"/>
            <rFont val="Tahoma"/>
            <family val="2"/>
          </rPr>
          <t>Abdoul A.. Diallo:</t>
        </r>
        <r>
          <rPr>
            <sz val="9"/>
            <color indexed="81"/>
            <rFont val="Tahoma"/>
            <family val="2"/>
          </rPr>
          <t xml:space="preserve">
Reprographie: (100pages.1500F) = 150 000
Reliure: 10 000
TOTAL= 160 000</t>
        </r>
      </text>
    </comment>
    <comment ref="I73" authorId="0" shapeId="0">
      <text>
        <r>
          <rPr>
            <b/>
            <sz val="9"/>
            <color indexed="81"/>
            <rFont val="Tahoma"/>
            <family val="2"/>
          </rPr>
          <t>Abdoul A.. Diallo:</t>
        </r>
        <r>
          <rPr>
            <sz val="9"/>
            <color indexed="81"/>
            <rFont val="Tahoma"/>
            <family val="2"/>
          </rPr>
          <t xml:space="preserve">
Reprographie: (100pages.1500F) = 150 000
Reliure: 10 000
TOTAL= 160 000</t>
        </r>
      </text>
    </comment>
    <comment ref="I74" authorId="0" shapeId="0">
      <text>
        <r>
          <rPr>
            <b/>
            <sz val="9"/>
            <color indexed="81"/>
            <rFont val="Tahoma"/>
            <family val="2"/>
          </rPr>
          <t>Abdoul A.. Diallo:</t>
        </r>
        <r>
          <rPr>
            <sz val="9"/>
            <color indexed="81"/>
            <rFont val="Tahoma"/>
            <family val="2"/>
          </rPr>
          <t xml:space="preserve">
Reprographie: (6pages.50000F) = 300 000
TOTAL= 300 000</t>
        </r>
      </text>
    </comment>
    <comment ref="I75" authorId="0" shapeId="0">
      <text>
        <r>
          <rPr>
            <b/>
            <sz val="9"/>
            <color indexed="81"/>
            <rFont val="Tahoma"/>
            <family val="2"/>
          </rPr>
          <t>Abdoul A.. Diallo:</t>
        </r>
        <r>
          <rPr>
            <sz val="9"/>
            <color indexed="81"/>
            <rFont val="Tahoma"/>
            <family val="2"/>
          </rPr>
          <t xml:space="preserve">
Perdiem ( 35 participants): 100 000
forfait collation: 15 000 000 /35 = 428 571
Location salle: 10 000 000 / 35 = 285 714
TOTAL = 814 286</t>
        </r>
      </text>
    </comment>
    <comment ref="I76" authorId="0" shapeId="0">
      <text>
        <r>
          <rPr>
            <b/>
            <sz val="9"/>
            <color indexed="81"/>
            <rFont val="Tahoma"/>
            <family val="2"/>
          </rPr>
          <t>Abdoul A.. Diallo:</t>
        </r>
        <r>
          <rPr>
            <sz val="9"/>
            <color indexed="81"/>
            <rFont val="Tahoma"/>
            <family val="2"/>
          </rPr>
          <t xml:space="preserve">
Perdiem (1pers +1 Chauf) x 8 regions) = 420 000
Location véhicule (x 8 veh): 5 200 000/16 = 325 000
Carburant: 100Lx10000x8 Reg = 8 000 000/32 = 250 000
TOTAL = 995 000</t>
        </r>
      </text>
    </comment>
    <comment ref="I77" authorId="0" shapeId="0">
      <text>
        <r>
          <rPr>
            <b/>
            <sz val="9"/>
            <color indexed="81"/>
            <rFont val="Tahoma"/>
            <family val="2"/>
          </rPr>
          <t>Abdoul A.. Diallo:</t>
        </r>
        <r>
          <rPr>
            <sz val="9"/>
            <color indexed="81"/>
            <rFont val="Tahoma"/>
            <family val="2"/>
          </rPr>
          <t xml:space="preserve">
Perdiem(8équipx4sup+1chauf): 420 000
Carburant: 135Lx2x38DSx10 000 =102 600 000/120 = 855 000
TOATAL:1 275 000</t>
        </r>
      </text>
    </comment>
    <comment ref="O77" authorId="0" shapeId="0">
      <text>
        <r>
          <rPr>
            <b/>
            <sz val="9"/>
            <color indexed="81"/>
            <rFont val="Tahoma"/>
            <family val="2"/>
          </rPr>
          <t>Abdoul A.. Diallo:</t>
        </r>
        <r>
          <rPr>
            <sz val="9"/>
            <color indexed="81"/>
            <rFont val="Tahoma"/>
            <family val="2"/>
          </rPr>
          <t xml:space="preserve">
Perdiem(8équipx4sup+1chauf): 420 000
Carburant: 135Lx2x38DSx10 000 =102 600 000/120 = 855 000
TOATAL:1 275 000</t>
        </r>
      </text>
    </comment>
    <comment ref="U77" authorId="0" shapeId="0">
      <text>
        <r>
          <rPr>
            <b/>
            <sz val="9"/>
            <color indexed="81"/>
            <rFont val="Tahoma"/>
            <family val="2"/>
          </rPr>
          <t>Abdoul A.. Diallo:</t>
        </r>
        <r>
          <rPr>
            <sz val="9"/>
            <color indexed="81"/>
            <rFont val="Tahoma"/>
            <family val="2"/>
          </rPr>
          <t xml:space="preserve">
Perdiem(8équipx4sup+1chauf): 420 000
Carburant: 135Lx2x38DSx10 000 =102 600 000/120 = 855 000
TOATAL:1 275 000</t>
        </r>
      </text>
    </comment>
    <comment ref="AA77" authorId="0" shapeId="0">
      <text>
        <r>
          <rPr>
            <b/>
            <sz val="9"/>
            <color indexed="81"/>
            <rFont val="Tahoma"/>
            <family val="2"/>
          </rPr>
          <t>Abdoul A.. Diallo:</t>
        </r>
        <r>
          <rPr>
            <sz val="9"/>
            <color indexed="81"/>
            <rFont val="Tahoma"/>
            <family val="2"/>
          </rPr>
          <t xml:space="preserve">
Perdiem(8équipx4sup+1chauf): 420 000
Carburant: 135Lx2x38DSx10 000 =102 600 000/120 = 855 000
TOATAL:1 275 000</t>
        </r>
      </text>
    </comment>
    <comment ref="AG77" authorId="0" shapeId="0">
      <text>
        <r>
          <rPr>
            <b/>
            <sz val="9"/>
            <color indexed="81"/>
            <rFont val="Tahoma"/>
            <family val="2"/>
          </rPr>
          <t>Abdoul A.. Diallo:</t>
        </r>
        <r>
          <rPr>
            <sz val="9"/>
            <color indexed="81"/>
            <rFont val="Tahoma"/>
            <family val="2"/>
          </rPr>
          <t xml:space="preserve">
Perdiem(8équipx4sup+1chauf): 420 000
Carburant: 135Lx2x38DSx10 000 =102 600 000/120 = 855 000
TOATAL:1 275 000</t>
        </r>
      </text>
    </comment>
    <comment ref="I78"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O78"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U78"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AA78"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AG78"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I79" authorId="0" shapeId="0">
      <text>
        <r>
          <rPr>
            <b/>
            <sz val="9"/>
            <color indexed="81"/>
            <rFont val="Tahoma"/>
            <family val="2"/>
          </rPr>
          <t>Abdoul A.. Diallo:</t>
        </r>
        <r>
          <rPr>
            <sz val="9"/>
            <color indexed="81"/>
            <rFont val="Tahoma"/>
            <family val="2"/>
          </rPr>
          <t xml:space="preserve">
Perdiem: (20 Part + 6 Chauf): 420000   
Carburant: 250l/Vehiculex6X10000=15 000 000/26x3=192 308
Fourniture de bureau: 25 000/78 = 321
Location salle :1 000 000/26 = 38 462
TOTAL: 651 090</t>
        </r>
      </text>
    </comment>
    <comment ref="O79" authorId="0" shapeId="0">
      <text>
        <r>
          <rPr>
            <b/>
            <sz val="9"/>
            <color indexed="81"/>
            <rFont val="Tahoma"/>
            <family val="2"/>
          </rPr>
          <t>Abdoul A.. Diallo:</t>
        </r>
        <r>
          <rPr>
            <sz val="9"/>
            <color indexed="81"/>
            <rFont val="Tahoma"/>
            <family val="2"/>
          </rPr>
          <t xml:space="preserve">
Perdiem: (20 Part + 6 Chauf): 420000   
Carburant: 250l/Vehiculex6X10000=15 000 000/26x3=192 308
Fourniture de bureau: 25 000/78 = 321
Location salle :1 000 000/26 = 38 462
TOTAL: 651 090</t>
        </r>
      </text>
    </comment>
    <comment ref="U79" authorId="0" shapeId="0">
      <text>
        <r>
          <rPr>
            <b/>
            <sz val="9"/>
            <color indexed="81"/>
            <rFont val="Tahoma"/>
            <family val="2"/>
          </rPr>
          <t>Abdoul A.. Diallo:</t>
        </r>
        <r>
          <rPr>
            <sz val="9"/>
            <color indexed="81"/>
            <rFont val="Tahoma"/>
            <family val="2"/>
          </rPr>
          <t xml:space="preserve">
Perdiem: (20 Part + 6 Chauf): 420000   
Carburant: 250l/Vehiculex6X10000=15 000 000/26x3=192 308
Fourniture de bureau: 25 000/78 = 321
Location salle :1 000 000/26 = 38 462
TOTAL: 651 090</t>
        </r>
      </text>
    </comment>
    <comment ref="AA79" authorId="0" shapeId="0">
      <text>
        <r>
          <rPr>
            <b/>
            <sz val="9"/>
            <color indexed="81"/>
            <rFont val="Tahoma"/>
            <family val="2"/>
          </rPr>
          <t>Abdoul A.. Diallo:</t>
        </r>
        <r>
          <rPr>
            <sz val="9"/>
            <color indexed="81"/>
            <rFont val="Tahoma"/>
            <family val="2"/>
          </rPr>
          <t xml:space="preserve">
Perdiem: (20 Part + 6 Chauf): 420000   
Carburant: 250l/Vehiculex6X10000=15 000 000/26x3=192 308
Fourniture de bureau: 25 000/78 = 321
Location salle :1 000 000/26 = 38 462
TOTAL: 651 090</t>
        </r>
      </text>
    </comment>
    <comment ref="AG79" authorId="0" shapeId="0">
      <text>
        <r>
          <rPr>
            <b/>
            <sz val="9"/>
            <color indexed="81"/>
            <rFont val="Tahoma"/>
            <family val="2"/>
          </rPr>
          <t>Abdoul A.. Diallo:</t>
        </r>
        <r>
          <rPr>
            <sz val="9"/>
            <color indexed="81"/>
            <rFont val="Tahoma"/>
            <family val="2"/>
          </rPr>
          <t xml:space="preserve">
Perdiem: (20 Part + 6 Chauf): 420000   
Carburant: 250l/Vehiculex6X10000=15 000 000/26x3=192 308
Fourniture de bureau: 25 000/78 = 321
Location salle :1 000 000/26 = 38 462
TOTAL: 651 090</t>
        </r>
      </text>
    </comment>
    <comment ref="I80" authorId="0" shapeId="0">
      <text>
        <r>
          <rPr>
            <b/>
            <sz val="9"/>
            <color indexed="81"/>
            <rFont val="Tahoma"/>
            <family val="2"/>
          </rPr>
          <t>Abdoul A.. Diallo:</t>
        </r>
        <r>
          <rPr>
            <sz val="9"/>
            <color indexed="81"/>
            <rFont val="Tahoma"/>
            <family val="2"/>
          </rPr>
          <t xml:space="preserve">
Perdiem (5pers + 2Form+2chauf)x34DS: 420 000
Carburant:135Lx34vehx10000=45 900 000/612 = 75 000
Transport part(100 000x136): =1 360 000/2= 680 000
Fourniture de Bureau: 25 000/612 = 41
Location salle: 1000 000/34x9 = 3 268
TOTAL:  1 178 309 </t>
        </r>
      </text>
    </comment>
    <comment ref="O80" authorId="0" shapeId="0">
      <text>
        <r>
          <rPr>
            <b/>
            <sz val="9"/>
            <color indexed="81"/>
            <rFont val="Tahoma"/>
            <family val="2"/>
          </rPr>
          <t>Abdoul A.. Diallo:</t>
        </r>
        <r>
          <rPr>
            <sz val="9"/>
            <color indexed="81"/>
            <rFont val="Tahoma"/>
            <family val="2"/>
          </rPr>
          <t xml:space="preserve">
Perdiem (5pers + 2Form+2chauf)x34DS: 420 000
Carburant:135Lx34vehx10000=45 900 000/612 = 75 000
Transport part(100 000x136): =1 360 000/2= 680 000
Fourniture de Bureau: 25 000/612 = 41
Location salle: 1000 000/34x9 = 3 268
TOTAL:  1 178 309 </t>
        </r>
      </text>
    </comment>
    <comment ref="U80" authorId="0" shapeId="0">
      <text>
        <r>
          <rPr>
            <b/>
            <sz val="9"/>
            <color indexed="81"/>
            <rFont val="Tahoma"/>
            <family val="2"/>
          </rPr>
          <t>Abdoul A.. Diallo:</t>
        </r>
        <r>
          <rPr>
            <sz val="9"/>
            <color indexed="81"/>
            <rFont val="Tahoma"/>
            <family val="2"/>
          </rPr>
          <t xml:space="preserve">
Perdiem (5pers + 2Form+2chauf)x34DS: 420 000
Carburant:135Lx34vehx10000=45 900 000/612 = 75 000
Transport part(100 000x136): =1 360 000/2= 680 000
Fourniture de Bureau: 25 000/612 = 41
Location salle: 1000 000/34x9 = 3 268
TOTAL:  1 178 309 </t>
        </r>
      </text>
    </comment>
    <comment ref="AA80" authorId="0" shapeId="0">
      <text>
        <r>
          <rPr>
            <b/>
            <sz val="9"/>
            <color indexed="81"/>
            <rFont val="Tahoma"/>
            <family val="2"/>
          </rPr>
          <t>Abdoul A.. Diallo:</t>
        </r>
        <r>
          <rPr>
            <sz val="9"/>
            <color indexed="81"/>
            <rFont val="Tahoma"/>
            <family val="2"/>
          </rPr>
          <t xml:space="preserve">
Perdiem (5pers + 2Form+2chauf)x34DS: 420 000
Carburant:135Lx34vehx10000=45 900 000/612 = 75 000
Transport part(100 000x136): =1 360 000/2= 680 000
Fourniture de Bureau: 25 000/612 = 41
Location salle: 1000 000/34x9 = 3 268
TOTAL:  1 178 309 </t>
        </r>
      </text>
    </comment>
    <comment ref="AG80" authorId="0" shapeId="0">
      <text>
        <r>
          <rPr>
            <b/>
            <sz val="9"/>
            <color indexed="81"/>
            <rFont val="Tahoma"/>
            <family val="2"/>
          </rPr>
          <t>Abdoul A.. Diallo:</t>
        </r>
        <r>
          <rPr>
            <sz val="9"/>
            <color indexed="81"/>
            <rFont val="Tahoma"/>
            <family val="2"/>
          </rPr>
          <t xml:space="preserve">
Perdiem (5pers + 2Form+2chauf)x34DS: 420 000
Carburant:135Lx34vehx10000=45 900 000/612 = 75 000
Transport part(100 000x136): =1 360 000/2= 680 000
Fourniture de Bureau: 25 000/612 = 41
Location salle: 1000 000/34x9 = 3 268
TOTAL:  1 178 309 </t>
        </r>
      </text>
    </comment>
    <comment ref="I81" authorId="0" shapeId="0">
      <text>
        <r>
          <rPr>
            <b/>
            <sz val="9"/>
            <color indexed="81"/>
            <rFont val="Tahoma"/>
            <family val="2"/>
          </rPr>
          <t>Abdoul A.. Diallo:</t>
        </r>
        <r>
          <rPr>
            <sz val="9"/>
            <color indexed="81"/>
            <rFont val="Tahoma"/>
            <family val="2"/>
          </rPr>
          <t xml:space="preserve">
Perdiem (1 format + 1chauf)x38DS: 420 000;
Perdiem partic DS:100 000 
Carburant:135Lx10000x38=51 300 000/76 = 675 000
Fourniture de Bureau: 25 000/4 = 6 250
TOTAL:  1 201 250
</t>
        </r>
      </text>
    </comment>
    <comment ref="O81" authorId="0" shapeId="0">
      <text>
        <r>
          <rPr>
            <b/>
            <sz val="9"/>
            <color indexed="81"/>
            <rFont val="Tahoma"/>
            <family val="2"/>
          </rPr>
          <t>Abdoul A.. Diallo:</t>
        </r>
        <r>
          <rPr>
            <sz val="9"/>
            <color indexed="81"/>
            <rFont val="Tahoma"/>
            <family val="2"/>
          </rPr>
          <t xml:space="preserve">
Perdiem (1 format + 1chauf)x38DS: 420 000;
Perdiem partic DS:100 000 
Carburant:135Lx10000x38=51 300 000/76 = 675 000
Fourniture de Bureau: 25 000/4 = 6 250
TOTAL:  1 201 250
</t>
        </r>
      </text>
    </comment>
    <comment ref="U81" authorId="0" shapeId="0">
      <text>
        <r>
          <rPr>
            <b/>
            <sz val="9"/>
            <color indexed="81"/>
            <rFont val="Tahoma"/>
            <family val="2"/>
          </rPr>
          <t>Abdoul A.. Diallo:</t>
        </r>
        <r>
          <rPr>
            <sz val="9"/>
            <color indexed="81"/>
            <rFont val="Tahoma"/>
            <family val="2"/>
          </rPr>
          <t xml:space="preserve">
Perdiem (1 format + 1chauf)x38DS: 420 000;
Perdiem partic DS:100 000 
Carburant:135Lx10000x38=51 300 000/76 = 675 000
Fourniture de Bureau: 25 000/4 = 6 250
TOTAL:  1 201 250
</t>
        </r>
      </text>
    </comment>
    <comment ref="AA81" authorId="0" shapeId="0">
      <text>
        <r>
          <rPr>
            <b/>
            <sz val="9"/>
            <color indexed="81"/>
            <rFont val="Tahoma"/>
            <family val="2"/>
          </rPr>
          <t>Abdoul A.. Diallo:</t>
        </r>
        <r>
          <rPr>
            <sz val="9"/>
            <color indexed="81"/>
            <rFont val="Tahoma"/>
            <family val="2"/>
          </rPr>
          <t xml:space="preserve">
Perdiem (1 format + 1chauf)x38DS: 420 000;
Perdiem partic DS:100 000 
Carburant:135Lx10000x38=51 300 000/76 = 675 000
Fourniture de Bureau: 25 000/4 = 6 250
TOTAL:  1 201 250
</t>
        </r>
      </text>
    </comment>
    <comment ref="AG81" authorId="0" shapeId="0">
      <text>
        <r>
          <rPr>
            <b/>
            <sz val="9"/>
            <color indexed="81"/>
            <rFont val="Tahoma"/>
            <family val="2"/>
          </rPr>
          <t>Abdoul A.. Diallo:</t>
        </r>
        <r>
          <rPr>
            <sz val="9"/>
            <color indexed="81"/>
            <rFont val="Tahoma"/>
            <family val="2"/>
          </rPr>
          <t xml:space="preserve">
Perdiem (1 format + 1chauf)x38DS: 420 000;
Perdiem partic DS:100 000 
Carburant:135Lx10000x38=51 300 000/76 = 675 000
Fourniture de Bureau: 25 000/4 = 6 250
TOTAL:  1 201 250
</t>
        </r>
      </text>
    </comment>
    <comment ref="I82" authorId="0" shapeId="0">
      <text>
        <r>
          <rPr>
            <b/>
            <sz val="9"/>
            <color indexed="81"/>
            <rFont val="Tahoma"/>
            <family val="2"/>
          </rPr>
          <t>Abdoul A.. Diallo:</t>
        </r>
        <r>
          <rPr>
            <sz val="9"/>
            <color indexed="81"/>
            <rFont val="Tahoma"/>
            <family val="2"/>
          </rPr>
          <t xml:space="preserve">
carburant: 20Lx4vehX4jx10000 = 3 200 000</t>
        </r>
      </text>
    </comment>
    <comment ref="O82" authorId="0" shapeId="0">
      <text>
        <r>
          <rPr>
            <b/>
            <sz val="9"/>
            <color indexed="81"/>
            <rFont val="Tahoma"/>
            <family val="2"/>
          </rPr>
          <t>Abdoul A.. Diallo:</t>
        </r>
        <r>
          <rPr>
            <sz val="9"/>
            <color indexed="81"/>
            <rFont val="Tahoma"/>
            <family val="2"/>
          </rPr>
          <t xml:space="preserve">
carburant: 20Lx4vehX4jx10000 = 3 200 000</t>
        </r>
      </text>
    </comment>
    <comment ref="U82" authorId="0" shapeId="0">
      <text>
        <r>
          <rPr>
            <b/>
            <sz val="9"/>
            <color indexed="81"/>
            <rFont val="Tahoma"/>
            <family val="2"/>
          </rPr>
          <t>Abdoul A.. Diallo:</t>
        </r>
        <r>
          <rPr>
            <sz val="9"/>
            <color indexed="81"/>
            <rFont val="Tahoma"/>
            <family val="2"/>
          </rPr>
          <t xml:space="preserve">
carburant: 20Lx4vehX4jx10000 = 3 200 000</t>
        </r>
      </text>
    </comment>
    <comment ref="AA82" authorId="0" shapeId="0">
      <text>
        <r>
          <rPr>
            <b/>
            <sz val="9"/>
            <color indexed="81"/>
            <rFont val="Tahoma"/>
            <family val="2"/>
          </rPr>
          <t>Abdoul A.. Diallo:</t>
        </r>
        <r>
          <rPr>
            <sz val="9"/>
            <color indexed="81"/>
            <rFont val="Tahoma"/>
            <family val="2"/>
          </rPr>
          <t xml:space="preserve">
carburant: 20Lx4vehX4jx10000 = 3 200 000</t>
        </r>
      </text>
    </comment>
    <comment ref="AG82" authorId="0" shapeId="0">
      <text>
        <r>
          <rPr>
            <b/>
            <sz val="9"/>
            <color indexed="81"/>
            <rFont val="Tahoma"/>
            <family val="2"/>
          </rPr>
          <t>Abdoul A.. Diallo:</t>
        </r>
        <r>
          <rPr>
            <sz val="9"/>
            <color indexed="81"/>
            <rFont val="Tahoma"/>
            <family val="2"/>
          </rPr>
          <t xml:space="preserve">
carburant: 20Lx4vehX4jx10000 = 3 200 000</t>
        </r>
      </text>
    </comment>
    <comment ref="I83" authorId="0" shapeId="0">
      <text>
        <r>
          <rPr>
            <b/>
            <sz val="9"/>
            <color indexed="81"/>
            <rFont val="Tahoma"/>
            <family val="2"/>
          </rPr>
          <t>Abdoul A.. Diallo:</t>
        </r>
        <r>
          <rPr>
            <sz val="9"/>
            <color indexed="81"/>
            <rFont val="Tahoma"/>
            <family val="2"/>
          </rPr>
          <t xml:space="preserve">
carburant: 20Lx4vehX4jx10000 = 3 200 000</t>
        </r>
      </text>
    </comment>
    <comment ref="O83" authorId="0" shapeId="0">
      <text>
        <r>
          <rPr>
            <b/>
            <sz val="9"/>
            <color indexed="81"/>
            <rFont val="Tahoma"/>
            <family val="2"/>
          </rPr>
          <t>Abdoul A.. Diallo:</t>
        </r>
        <r>
          <rPr>
            <sz val="9"/>
            <color indexed="81"/>
            <rFont val="Tahoma"/>
            <family val="2"/>
          </rPr>
          <t xml:space="preserve">
carburant: 20Lx4vehX4jx10000 = 3 200 000</t>
        </r>
      </text>
    </comment>
    <comment ref="U83" authorId="0" shapeId="0">
      <text>
        <r>
          <rPr>
            <b/>
            <sz val="9"/>
            <color indexed="81"/>
            <rFont val="Tahoma"/>
            <family val="2"/>
          </rPr>
          <t>Abdoul A.. Diallo:</t>
        </r>
        <r>
          <rPr>
            <sz val="9"/>
            <color indexed="81"/>
            <rFont val="Tahoma"/>
            <family val="2"/>
          </rPr>
          <t xml:space="preserve">
carburant: 20Lx4vehX4jx10000 = 3 200 000</t>
        </r>
      </text>
    </comment>
    <comment ref="AA83" authorId="0" shapeId="0">
      <text>
        <r>
          <rPr>
            <b/>
            <sz val="9"/>
            <color indexed="81"/>
            <rFont val="Tahoma"/>
            <family val="2"/>
          </rPr>
          <t>Abdoul A.. Diallo:</t>
        </r>
        <r>
          <rPr>
            <sz val="9"/>
            <color indexed="81"/>
            <rFont val="Tahoma"/>
            <family val="2"/>
          </rPr>
          <t xml:space="preserve">
carburant: 20Lx4vehX4jx10000 = 3 200 000</t>
        </r>
      </text>
    </comment>
    <comment ref="AG83" authorId="0" shapeId="0">
      <text>
        <r>
          <rPr>
            <b/>
            <sz val="9"/>
            <color indexed="81"/>
            <rFont val="Tahoma"/>
            <family val="2"/>
          </rPr>
          <t>Abdoul A.. Diallo:</t>
        </r>
        <r>
          <rPr>
            <sz val="9"/>
            <color indexed="81"/>
            <rFont val="Tahoma"/>
            <family val="2"/>
          </rPr>
          <t xml:space="preserve">
carburant: 20Lx4vehX4jx10000 = 3 200 000</t>
        </r>
      </text>
    </comment>
    <comment ref="I84" authorId="0" shapeId="0">
      <text>
        <r>
          <rPr>
            <b/>
            <sz val="9"/>
            <color indexed="81"/>
            <rFont val="Tahoma"/>
            <family val="2"/>
          </rPr>
          <t>Abdoul A.. Diallo:</t>
        </r>
        <r>
          <rPr>
            <sz val="9"/>
            <color indexed="81"/>
            <rFont val="Tahoma"/>
            <family val="2"/>
          </rPr>
          <t xml:space="preserve">
Perdiem (15 part+5 chauf) = 420 000
Carburant: 20Lx10000x5= 1000 000/60 = 16 667
Fourniture: 25000/3 = 8 333
Location salle: 1000 000/60 = 16 667
TOTAL = 461 667</t>
        </r>
      </text>
    </comment>
    <comment ref="O84" authorId="0" shapeId="0">
      <text>
        <r>
          <rPr>
            <b/>
            <sz val="9"/>
            <color indexed="81"/>
            <rFont val="Tahoma"/>
            <family val="2"/>
          </rPr>
          <t>Abdoul A.. Diallo:</t>
        </r>
        <r>
          <rPr>
            <sz val="9"/>
            <color indexed="81"/>
            <rFont val="Tahoma"/>
            <family val="2"/>
          </rPr>
          <t xml:space="preserve">
Perdiem (15 part+5 chauf) = 420 000
Carburant: 20Lx10000x5= 1000 000/60 = 16 667
Fourniture: 25000/3 = 8 333
Location salle: 1000 000/60 = 16 667
TOTAL = 461 667</t>
        </r>
      </text>
    </comment>
    <comment ref="U84" authorId="0" shapeId="0">
      <text>
        <r>
          <rPr>
            <b/>
            <sz val="9"/>
            <color indexed="81"/>
            <rFont val="Tahoma"/>
            <family val="2"/>
          </rPr>
          <t>Abdoul A.. Diallo:</t>
        </r>
        <r>
          <rPr>
            <sz val="9"/>
            <color indexed="81"/>
            <rFont val="Tahoma"/>
            <family val="2"/>
          </rPr>
          <t xml:space="preserve">
Perdiem (15 part+5 chauf) = 420 000
Carburant: 20Lx10000x5= 1000 000/60 = 16 667
Fourniture: 25000/3 = 8 333
Location salle: 1000 000/60 = 16 667
TOTAL = 461 667</t>
        </r>
      </text>
    </comment>
    <comment ref="AA84" authorId="0" shapeId="0">
      <text>
        <r>
          <rPr>
            <b/>
            <sz val="9"/>
            <color indexed="81"/>
            <rFont val="Tahoma"/>
            <family val="2"/>
          </rPr>
          <t>Abdoul A.. Diallo:</t>
        </r>
        <r>
          <rPr>
            <sz val="9"/>
            <color indexed="81"/>
            <rFont val="Tahoma"/>
            <family val="2"/>
          </rPr>
          <t xml:space="preserve">
Perdiem (15 part+5 chauf) = 420 000
Carburant: 20Lx10000x5= 1000 000/60 = 16 667
Fourniture: 25000/3 = 8 333
Location salle: 1000 000/60 = 16 667
TOTAL = 461 667</t>
        </r>
      </text>
    </comment>
    <comment ref="AG84" authorId="0" shapeId="0">
      <text>
        <r>
          <rPr>
            <b/>
            <sz val="9"/>
            <color indexed="81"/>
            <rFont val="Tahoma"/>
            <family val="2"/>
          </rPr>
          <t>Abdoul A.. Diallo:</t>
        </r>
        <r>
          <rPr>
            <sz val="9"/>
            <color indexed="81"/>
            <rFont val="Tahoma"/>
            <family val="2"/>
          </rPr>
          <t xml:space="preserve">
Perdiem (15 part+5 chauf) = 420 000
Carburant: 20Lx10000x5= 1000 000/60 = 16 667
Fourniture: 25000/3 = 8 333
Location salle: 1000 000/60 = 16 667
TOTAL = 461 667</t>
        </r>
      </text>
    </comment>
    <comment ref="I85"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O85"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U85"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AA85"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AG85" authorId="0" shapeId="0">
      <text>
        <r>
          <rPr>
            <b/>
            <sz val="9"/>
            <color indexed="81"/>
            <rFont val="Tahoma"/>
            <family val="2"/>
          </rPr>
          <t>Abdoul A.. Diallo:</t>
        </r>
        <r>
          <rPr>
            <sz val="9"/>
            <color indexed="81"/>
            <rFont val="Tahoma"/>
            <family val="2"/>
          </rPr>
          <t xml:space="preserve">
Elaboration TDR (3 pers/3j): 420 000x9 = 3 780 000
Diffision TDR dans les médias: 750 000x3Médias = 2 250 000/9 = 250 000
Honoraire consultant:2 500 000x15J = 37 500 000/9 = 4 166 667
TOTAL = 4 836 667</t>
        </r>
      </text>
    </comment>
    <comment ref="I86" authorId="0" shapeId="0">
      <text>
        <r>
          <rPr>
            <b/>
            <sz val="9"/>
            <color indexed="81"/>
            <rFont val="Tahoma"/>
            <family val="2"/>
          </rPr>
          <t>Abdoul A.. Diallo:</t>
        </r>
        <r>
          <rPr>
            <sz val="9"/>
            <color indexed="81"/>
            <rFont val="Tahoma"/>
            <family val="2"/>
          </rPr>
          <t xml:space="preserve">
Carburant(25 part):20Lx10000 = 200 000 x 20 = 4 000 000
Forfait Collation: 15 000 000
Location salle: 10 000 000
TOTAL = 29 000 000</t>
        </r>
      </text>
    </comment>
    <comment ref="I87"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O87"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U87"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AA87"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AG87"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I88"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I89"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I95" authorId="0" shapeId="0">
      <text>
        <r>
          <rPr>
            <b/>
            <sz val="9"/>
            <color indexed="81"/>
            <rFont val="Tahoma"/>
            <family val="2"/>
          </rPr>
          <t>Abdoul A.. Diallo:</t>
        </r>
        <r>
          <rPr>
            <sz val="9"/>
            <color indexed="81"/>
            <rFont val="Tahoma"/>
            <family val="2"/>
          </rPr>
          <t xml:space="preserve">
carburant: 20Lx4vehX4jx10000 = 3 200 000</t>
        </r>
      </text>
    </comment>
    <comment ref="O95" authorId="0" shapeId="0">
      <text>
        <r>
          <rPr>
            <b/>
            <sz val="9"/>
            <color indexed="81"/>
            <rFont val="Tahoma"/>
            <family val="2"/>
          </rPr>
          <t>Abdoul A.. Diallo:</t>
        </r>
        <r>
          <rPr>
            <sz val="9"/>
            <color indexed="81"/>
            <rFont val="Tahoma"/>
            <family val="2"/>
          </rPr>
          <t xml:space="preserve">
carburant: 20Lx4vehX4jx10000 = 3 200 000</t>
        </r>
      </text>
    </comment>
    <comment ref="U95" authorId="0" shapeId="0">
      <text>
        <r>
          <rPr>
            <b/>
            <sz val="9"/>
            <color indexed="81"/>
            <rFont val="Tahoma"/>
            <family val="2"/>
          </rPr>
          <t>Abdoul A.. Diallo:</t>
        </r>
        <r>
          <rPr>
            <sz val="9"/>
            <color indexed="81"/>
            <rFont val="Tahoma"/>
            <family val="2"/>
          </rPr>
          <t xml:space="preserve">
carburant: 20Lx4vehX4jx10000 = 3 200 000</t>
        </r>
      </text>
    </comment>
    <comment ref="AA95" authorId="0" shapeId="0">
      <text>
        <r>
          <rPr>
            <b/>
            <sz val="9"/>
            <color indexed="81"/>
            <rFont val="Tahoma"/>
            <family val="2"/>
          </rPr>
          <t>Abdoul A.. Diallo:</t>
        </r>
        <r>
          <rPr>
            <sz val="9"/>
            <color indexed="81"/>
            <rFont val="Tahoma"/>
            <family val="2"/>
          </rPr>
          <t xml:space="preserve">
carburant: 20Lx4vehX4jx10000 = 3 200 000</t>
        </r>
      </text>
    </comment>
    <comment ref="AG95" authorId="0" shapeId="0">
      <text>
        <r>
          <rPr>
            <b/>
            <sz val="9"/>
            <color indexed="81"/>
            <rFont val="Tahoma"/>
            <family val="2"/>
          </rPr>
          <t>Abdoul A.. Diallo:</t>
        </r>
        <r>
          <rPr>
            <sz val="9"/>
            <color indexed="81"/>
            <rFont val="Tahoma"/>
            <family val="2"/>
          </rPr>
          <t xml:space="preserve">
carburant: 20Lx4vehX4jx10000 = 3 200 000</t>
        </r>
      </text>
    </comment>
    <comment ref="I96" authorId="0" shapeId="0">
      <text>
        <r>
          <rPr>
            <b/>
            <sz val="9"/>
            <color indexed="81"/>
            <rFont val="Tahoma"/>
            <family val="2"/>
          </rPr>
          <t>Abdoul A.. Diallo:</t>
        </r>
        <r>
          <rPr>
            <sz val="9"/>
            <color indexed="81"/>
            <rFont val="Tahoma"/>
            <family val="2"/>
          </rPr>
          <t xml:space="preserve">
carburant: 20Lx4vehX4jx10000 = 3 200 000</t>
        </r>
      </text>
    </comment>
    <comment ref="O96" authorId="0" shapeId="0">
      <text>
        <r>
          <rPr>
            <b/>
            <sz val="9"/>
            <color indexed="81"/>
            <rFont val="Tahoma"/>
            <family val="2"/>
          </rPr>
          <t>Abdoul A.. Diallo:</t>
        </r>
        <r>
          <rPr>
            <sz val="9"/>
            <color indexed="81"/>
            <rFont val="Tahoma"/>
            <family val="2"/>
          </rPr>
          <t xml:space="preserve">
carburant: 20Lx4vehX4jx10000 = 3 200 000</t>
        </r>
      </text>
    </comment>
    <comment ref="U96" authorId="0" shapeId="0">
      <text>
        <r>
          <rPr>
            <b/>
            <sz val="9"/>
            <color indexed="81"/>
            <rFont val="Tahoma"/>
            <family val="2"/>
          </rPr>
          <t>Abdoul A.. Diallo:</t>
        </r>
        <r>
          <rPr>
            <sz val="9"/>
            <color indexed="81"/>
            <rFont val="Tahoma"/>
            <family val="2"/>
          </rPr>
          <t xml:space="preserve">
carburant: 20Lx4vehX4jx10000 = 3 200 000</t>
        </r>
      </text>
    </comment>
    <comment ref="AA96" authorId="0" shapeId="0">
      <text>
        <r>
          <rPr>
            <b/>
            <sz val="9"/>
            <color indexed="81"/>
            <rFont val="Tahoma"/>
            <family val="2"/>
          </rPr>
          <t>Abdoul A.. Diallo:</t>
        </r>
        <r>
          <rPr>
            <sz val="9"/>
            <color indexed="81"/>
            <rFont val="Tahoma"/>
            <family val="2"/>
          </rPr>
          <t xml:space="preserve">
carburant: 20Lx4vehX4jx10000 = 3 200 000</t>
        </r>
      </text>
    </comment>
    <comment ref="AG96" authorId="0" shapeId="0">
      <text>
        <r>
          <rPr>
            <b/>
            <sz val="9"/>
            <color indexed="81"/>
            <rFont val="Tahoma"/>
            <family val="2"/>
          </rPr>
          <t>Abdoul A.. Diallo:</t>
        </r>
        <r>
          <rPr>
            <sz val="9"/>
            <color indexed="81"/>
            <rFont val="Tahoma"/>
            <family val="2"/>
          </rPr>
          <t xml:space="preserve">
carburant: 20Lx4vehX4jx10000 = 3 200 000</t>
        </r>
      </text>
    </comment>
    <comment ref="I101" authorId="0" shapeId="0">
      <text>
        <r>
          <rPr>
            <b/>
            <sz val="9"/>
            <color indexed="81"/>
            <rFont val="Tahoma"/>
            <family val="2"/>
          </rPr>
          <t>Abdoul A.. Diallo:</t>
        </r>
        <r>
          <rPr>
            <sz val="9"/>
            <color indexed="81"/>
            <rFont val="Tahoma"/>
            <family val="2"/>
          </rPr>
          <t xml:space="preserve">
Perdiem (15 part+5 chauf)x2= 420 000
Carburant: 20Lx10000x5x2= 2 000 000/40x2 = 25 000
Fourniture: 25000/2 = 12 500
Location salle: 1000 000/40 = 25 000
TOTAL = 482 500</t>
        </r>
      </text>
    </comment>
    <comment ref="O101" authorId="0" shapeId="0">
      <text>
        <r>
          <rPr>
            <b/>
            <sz val="9"/>
            <color indexed="81"/>
            <rFont val="Tahoma"/>
            <family val="2"/>
          </rPr>
          <t>Abdoul A.. Diallo:</t>
        </r>
        <r>
          <rPr>
            <sz val="9"/>
            <color indexed="81"/>
            <rFont val="Tahoma"/>
            <family val="2"/>
          </rPr>
          <t xml:space="preserve">
Perdiem (15 part+5 chauf)x2= 420 000
Carburant: 20Lx10000x5x2= 2 000 000/40x2 = 25 000
Fourniture: 25000/2 = 12 500
Location salle: 1000 000/40 = 25 000
TOTAL = 482 500</t>
        </r>
      </text>
    </comment>
    <comment ref="U101" authorId="0" shapeId="0">
      <text>
        <r>
          <rPr>
            <b/>
            <sz val="9"/>
            <color indexed="81"/>
            <rFont val="Tahoma"/>
            <family val="2"/>
          </rPr>
          <t>Abdoul A.. Diallo:</t>
        </r>
        <r>
          <rPr>
            <sz val="9"/>
            <color indexed="81"/>
            <rFont val="Tahoma"/>
            <family val="2"/>
          </rPr>
          <t xml:space="preserve">
Perdiem (15 part+5 chauf)x2= 420 000
Carburant: 20Lx10000x5x2= 2 000 000/40x2 = 25 000
Fourniture: 25000/2 = 12 500
Location salle: 1000 000/40 = 25 000
TOTAL = 482 500</t>
        </r>
      </text>
    </comment>
    <comment ref="AA101" authorId="0" shapeId="0">
      <text>
        <r>
          <rPr>
            <b/>
            <sz val="9"/>
            <color indexed="81"/>
            <rFont val="Tahoma"/>
            <family val="2"/>
          </rPr>
          <t>Abdoul A.. Diallo:</t>
        </r>
        <r>
          <rPr>
            <sz val="9"/>
            <color indexed="81"/>
            <rFont val="Tahoma"/>
            <family val="2"/>
          </rPr>
          <t xml:space="preserve">
Perdiem (15 part+5 chauf)x2= 420 000
Carburant: 20Lx10000x5x2= 2 000 000/40x2 = 25 000
Fourniture: 25000/2 = 12 500
Location salle: 1000 000/40 = 25 000
TOTAL = 482 500</t>
        </r>
      </text>
    </comment>
    <comment ref="AG101" authorId="0" shapeId="0">
      <text>
        <r>
          <rPr>
            <b/>
            <sz val="9"/>
            <color indexed="81"/>
            <rFont val="Tahoma"/>
            <family val="2"/>
          </rPr>
          <t>Abdoul A.. Diallo:</t>
        </r>
        <r>
          <rPr>
            <sz val="9"/>
            <color indexed="81"/>
            <rFont val="Tahoma"/>
            <family val="2"/>
          </rPr>
          <t xml:space="preserve">
Perdiem (15 part+5 chauf)x2= 420 000
Carburant: 20Lx10000x5x2= 2 000 000/40x2 = 25 000
Fourniture: 25000/2 = 12 500
Location salle: 1000 000/40 = 25 000
TOTAL = 482 500</t>
        </r>
      </text>
    </comment>
    <comment ref="I106" authorId="0" shapeId="0">
      <text>
        <r>
          <rPr>
            <b/>
            <sz val="9"/>
            <color indexed="81"/>
            <rFont val="Tahoma"/>
            <family val="2"/>
          </rPr>
          <t>Abdoul A.. Diallo:</t>
        </r>
        <r>
          <rPr>
            <sz val="9"/>
            <color indexed="81"/>
            <rFont val="Tahoma"/>
            <family val="2"/>
          </rPr>
          <t xml:space="preserve">
perdiem (4persx3j): 420 000
</t>
        </r>
      </text>
    </comment>
    <comment ref="O106" authorId="0" shapeId="0">
      <text>
        <r>
          <rPr>
            <b/>
            <sz val="9"/>
            <color indexed="81"/>
            <rFont val="Tahoma"/>
            <family val="2"/>
          </rPr>
          <t>Abdoul A.. Diallo:</t>
        </r>
        <r>
          <rPr>
            <sz val="9"/>
            <color indexed="81"/>
            <rFont val="Tahoma"/>
            <family val="2"/>
          </rPr>
          <t xml:space="preserve">
perdiem (4persx3j): 420 000
</t>
        </r>
      </text>
    </comment>
    <comment ref="U106" authorId="0" shapeId="0">
      <text>
        <r>
          <rPr>
            <b/>
            <sz val="9"/>
            <color indexed="81"/>
            <rFont val="Tahoma"/>
            <family val="2"/>
          </rPr>
          <t>Abdoul A.. Diallo:</t>
        </r>
        <r>
          <rPr>
            <sz val="9"/>
            <color indexed="81"/>
            <rFont val="Tahoma"/>
            <family val="2"/>
          </rPr>
          <t xml:space="preserve">
perdiem (4persx3j): 420 000
</t>
        </r>
      </text>
    </comment>
    <comment ref="AA106" authorId="0" shapeId="0">
      <text>
        <r>
          <rPr>
            <b/>
            <sz val="9"/>
            <color indexed="81"/>
            <rFont val="Tahoma"/>
            <family val="2"/>
          </rPr>
          <t>Abdoul A.. Diallo:</t>
        </r>
        <r>
          <rPr>
            <sz val="9"/>
            <color indexed="81"/>
            <rFont val="Tahoma"/>
            <family val="2"/>
          </rPr>
          <t xml:space="preserve">
perdiem (4persx3j): 420 000
</t>
        </r>
      </text>
    </comment>
    <comment ref="AG106" authorId="0" shapeId="0">
      <text>
        <r>
          <rPr>
            <b/>
            <sz val="9"/>
            <color indexed="81"/>
            <rFont val="Tahoma"/>
            <family val="2"/>
          </rPr>
          <t>Abdoul A.. Diallo:</t>
        </r>
        <r>
          <rPr>
            <sz val="9"/>
            <color indexed="81"/>
            <rFont val="Tahoma"/>
            <family val="2"/>
          </rPr>
          <t xml:space="preserve">
perdiem (4persx3j): 420 000
</t>
        </r>
      </text>
    </comment>
    <comment ref="I107" authorId="0" shapeId="0">
      <text>
        <r>
          <rPr>
            <b/>
            <sz val="9"/>
            <color indexed="81"/>
            <rFont val="Tahoma"/>
            <family val="2"/>
          </rPr>
          <t>Abdoul A.. Diallo:</t>
        </r>
        <r>
          <rPr>
            <sz val="9"/>
            <color indexed="81"/>
            <rFont val="Tahoma"/>
            <family val="2"/>
          </rPr>
          <t xml:space="preserve">
perdiem (4persx3j): 420 000
</t>
        </r>
      </text>
    </comment>
    <comment ref="O107" authorId="0" shapeId="0">
      <text>
        <r>
          <rPr>
            <b/>
            <sz val="9"/>
            <color indexed="81"/>
            <rFont val="Tahoma"/>
            <family val="2"/>
          </rPr>
          <t>Abdoul A.. Diallo:</t>
        </r>
        <r>
          <rPr>
            <sz val="9"/>
            <color indexed="81"/>
            <rFont val="Tahoma"/>
            <family val="2"/>
          </rPr>
          <t xml:space="preserve">
perdiem (4persx3j): 420 000
</t>
        </r>
      </text>
    </comment>
    <comment ref="U107" authorId="0" shapeId="0">
      <text>
        <r>
          <rPr>
            <b/>
            <sz val="9"/>
            <color indexed="81"/>
            <rFont val="Tahoma"/>
            <family val="2"/>
          </rPr>
          <t>Abdoul A.. Diallo:</t>
        </r>
        <r>
          <rPr>
            <sz val="9"/>
            <color indexed="81"/>
            <rFont val="Tahoma"/>
            <family val="2"/>
          </rPr>
          <t xml:space="preserve">
perdiem (4persx3j): 420 000
</t>
        </r>
      </text>
    </comment>
    <comment ref="AA107" authorId="0" shapeId="0">
      <text>
        <r>
          <rPr>
            <b/>
            <sz val="9"/>
            <color indexed="81"/>
            <rFont val="Tahoma"/>
            <family val="2"/>
          </rPr>
          <t>Abdoul A.. Diallo:</t>
        </r>
        <r>
          <rPr>
            <sz val="9"/>
            <color indexed="81"/>
            <rFont val="Tahoma"/>
            <family val="2"/>
          </rPr>
          <t xml:space="preserve">
perdiem (4persx3j): 420 000
</t>
        </r>
      </text>
    </comment>
    <comment ref="AG107" authorId="0" shapeId="0">
      <text>
        <r>
          <rPr>
            <b/>
            <sz val="9"/>
            <color indexed="81"/>
            <rFont val="Tahoma"/>
            <family val="2"/>
          </rPr>
          <t>Abdoul A.. Diallo:</t>
        </r>
        <r>
          <rPr>
            <sz val="9"/>
            <color indexed="81"/>
            <rFont val="Tahoma"/>
            <family val="2"/>
          </rPr>
          <t xml:space="preserve">
perdiem (4persx3j): 420 000
</t>
        </r>
      </text>
    </comment>
    <comment ref="I109" authorId="0" shapeId="0">
      <text>
        <r>
          <rPr>
            <b/>
            <sz val="9"/>
            <color indexed="81"/>
            <rFont val="Tahoma"/>
            <family val="2"/>
          </rPr>
          <t>Abdoul A.. Diallo:</t>
        </r>
        <r>
          <rPr>
            <sz val="9"/>
            <color indexed="81"/>
            <rFont val="Tahoma"/>
            <family val="2"/>
          </rPr>
          <t xml:space="preserve">
Perdiem (15 part+5 chauf)= 420 000
Carburant: 20Lx10000x5= 1 000 000/20 = 50 000
Fourniture: 25000/2 = 12 500
Location salle: 1000 000/20 = 50 000
TOTAL = 532 500</t>
        </r>
      </text>
    </comment>
    <comment ref="O109" authorId="0" shapeId="0">
      <text>
        <r>
          <rPr>
            <b/>
            <sz val="9"/>
            <color indexed="81"/>
            <rFont val="Tahoma"/>
            <family val="2"/>
          </rPr>
          <t>Abdoul A.. Diallo:</t>
        </r>
        <r>
          <rPr>
            <sz val="9"/>
            <color indexed="81"/>
            <rFont val="Tahoma"/>
            <family val="2"/>
          </rPr>
          <t xml:space="preserve">
Perdiem (15 part+5 chauf)= 420 000
Carburant: 20Lx10000x5= 1 000 000/20 = 50 000
Fourniture: 25000/2 = 12 500
Location salle: 1000 000/20 = 50 000
TOTAL = 532 500</t>
        </r>
      </text>
    </comment>
    <comment ref="U109" authorId="0" shapeId="0">
      <text>
        <r>
          <rPr>
            <b/>
            <sz val="9"/>
            <color indexed="81"/>
            <rFont val="Tahoma"/>
            <family val="2"/>
          </rPr>
          <t>Abdoul A.. Diallo:</t>
        </r>
        <r>
          <rPr>
            <sz val="9"/>
            <color indexed="81"/>
            <rFont val="Tahoma"/>
            <family val="2"/>
          </rPr>
          <t xml:space="preserve">
Perdiem (15 part+5 chauf)= 420 000
Carburant: 20Lx10000x5= 1 000 000/20 = 50 000
Fourniture: 25000/2 = 12 500
Location salle: 1000 000/20 = 50 000
TOTAL = 532 500</t>
        </r>
      </text>
    </comment>
    <comment ref="AA109" authorId="0" shapeId="0">
      <text>
        <r>
          <rPr>
            <b/>
            <sz val="9"/>
            <color indexed="81"/>
            <rFont val="Tahoma"/>
            <family val="2"/>
          </rPr>
          <t>Abdoul A.. Diallo:</t>
        </r>
        <r>
          <rPr>
            <sz val="9"/>
            <color indexed="81"/>
            <rFont val="Tahoma"/>
            <family val="2"/>
          </rPr>
          <t xml:space="preserve">
Perdiem (15 part+5 chauf)= 420 000
Carburant: 20Lx10000x5= 1 000 000/20 = 50 000
Fourniture: 25000/2 = 12 500
Location salle: 1000 000/20 = 50 000
TOTAL = 532 500</t>
        </r>
      </text>
    </comment>
    <comment ref="AG109" authorId="0" shapeId="0">
      <text>
        <r>
          <rPr>
            <b/>
            <sz val="9"/>
            <color indexed="81"/>
            <rFont val="Tahoma"/>
            <family val="2"/>
          </rPr>
          <t>Abdoul A.. Diallo:</t>
        </r>
        <r>
          <rPr>
            <sz val="9"/>
            <color indexed="81"/>
            <rFont val="Tahoma"/>
            <family val="2"/>
          </rPr>
          <t xml:space="preserve">
Perdiem (15 part+5 chauf)= 420 000
Carburant: 20Lx10000x5= 1 000 000/20 = 50 000
Fourniture: 25000/2 = 12 500
Location salle: 1000 000/20 = 50 000
TOTAL = 532 500</t>
        </r>
      </text>
    </comment>
    <comment ref="I110" authorId="0" shapeId="0">
      <text>
        <r>
          <rPr>
            <b/>
            <sz val="9"/>
            <color indexed="81"/>
            <rFont val="Tahoma"/>
            <family val="2"/>
          </rPr>
          <t>Abdoul A.. Diallo:</t>
        </r>
        <r>
          <rPr>
            <sz val="9"/>
            <color indexed="81"/>
            <rFont val="Tahoma"/>
            <family val="2"/>
          </rPr>
          <t xml:space="preserve">
Perdiem(6 etrang+23DS+25 CKRY): 420 000
Transport: </t>
        </r>
      </text>
    </comment>
    <comment ref="I113" authorId="0" shapeId="0">
      <text>
        <r>
          <rPr>
            <b/>
            <sz val="9"/>
            <color indexed="81"/>
            <rFont val="Tahoma"/>
            <family val="2"/>
          </rPr>
          <t>Abdoul A.. Diallo:</t>
        </r>
        <r>
          <rPr>
            <sz val="9"/>
            <color indexed="81"/>
            <rFont val="Tahoma"/>
            <family val="2"/>
          </rPr>
          <t xml:space="preserve">
Perdiem (4persx4j): 420 000</t>
        </r>
      </text>
    </comment>
    <comment ref="O113" authorId="0" shapeId="0">
      <text>
        <r>
          <rPr>
            <b/>
            <sz val="9"/>
            <color indexed="81"/>
            <rFont val="Tahoma"/>
            <family val="2"/>
          </rPr>
          <t>Abdoul A.. Diallo:</t>
        </r>
        <r>
          <rPr>
            <sz val="9"/>
            <color indexed="81"/>
            <rFont val="Tahoma"/>
            <family val="2"/>
          </rPr>
          <t xml:space="preserve">
Perdiem (4persx4j): 420 000</t>
        </r>
      </text>
    </comment>
    <comment ref="U113" authorId="0" shapeId="0">
      <text>
        <r>
          <rPr>
            <b/>
            <sz val="9"/>
            <color indexed="81"/>
            <rFont val="Tahoma"/>
            <family val="2"/>
          </rPr>
          <t>Abdoul A.. Diallo:</t>
        </r>
        <r>
          <rPr>
            <sz val="9"/>
            <color indexed="81"/>
            <rFont val="Tahoma"/>
            <family val="2"/>
          </rPr>
          <t xml:space="preserve">
Perdiem (4persx4j): 420 000</t>
        </r>
      </text>
    </comment>
    <comment ref="AA113" authorId="0" shapeId="0">
      <text>
        <r>
          <rPr>
            <b/>
            <sz val="9"/>
            <color indexed="81"/>
            <rFont val="Tahoma"/>
            <family val="2"/>
          </rPr>
          <t>Abdoul A.. Diallo:</t>
        </r>
        <r>
          <rPr>
            <sz val="9"/>
            <color indexed="81"/>
            <rFont val="Tahoma"/>
            <family val="2"/>
          </rPr>
          <t xml:space="preserve">
Perdiem (4persx4j): 420 000</t>
        </r>
      </text>
    </comment>
    <comment ref="AG113" authorId="0" shapeId="0">
      <text>
        <r>
          <rPr>
            <b/>
            <sz val="9"/>
            <color indexed="81"/>
            <rFont val="Tahoma"/>
            <family val="2"/>
          </rPr>
          <t>Abdoul A.. Diallo:</t>
        </r>
        <r>
          <rPr>
            <sz val="9"/>
            <color indexed="81"/>
            <rFont val="Tahoma"/>
            <family val="2"/>
          </rPr>
          <t xml:space="preserve">
Perdiem (4persx4j): 420 000</t>
        </r>
      </text>
    </comment>
    <comment ref="I114"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O114"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U114"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AA114"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AG114" authorId="0" shapeId="0">
      <text>
        <r>
          <rPr>
            <b/>
            <sz val="9"/>
            <color indexed="81"/>
            <rFont val="Tahoma"/>
            <family val="2"/>
          </rPr>
          <t>Abdoul A.. Diallo:</t>
        </r>
        <r>
          <rPr>
            <sz val="9"/>
            <color indexed="81"/>
            <rFont val="Tahoma"/>
            <family val="2"/>
          </rPr>
          <t xml:space="preserve">
Location véhicule: 650 000/veh/j
Carburant: 135L  X10 000F
1 350 000
Perdiem Enquêteur: 420 000
TOTAL = 2 420 000</t>
        </r>
      </text>
    </comment>
    <comment ref="I116" authorId="0" shapeId="0">
      <text>
        <r>
          <rPr>
            <b/>
            <sz val="9"/>
            <color indexed="81"/>
            <rFont val="Tahoma"/>
            <family val="2"/>
          </rPr>
          <t>Abdoul A.. Diallo:</t>
        </r>
        <r>
          <rPr>
            <sz val="9"/>
            <color indexed="81"/>
            <rFont val="Tahoma"/>
            <family val="2"/>
          </rPr>
          <t xml:space="preserve">
Perdiem (15 part+5 chauf)= 420 000
Carburant: 20Lx10000x5= 1 000 000/20 = 50 000
Fourniture: 25000 = 12 500
Location salle: 15 000 000/20 = 750 000
TOTAL = 1 245 000</t>
        </r>
      </text>
    </comment>
    <comment ref="O116" authorId="0" shapeId="0">
      <text>
        <r>
          <rPr>
            <b/>
            <sz val="9"/>
            <color indexed="81"/>
            <rFont val="Tahoma"/>
            <family val="2"/>
          </rPr>
          <t>Abdoul A.. Diallo:</t>
        </r>
        <r>
          <rPr>
            <sz val="9"/>
            <color indexed="81"/>
            <rFont val="Tahoma"/>
            <family val="2"/>
          </rPr>
          <t xml:space="preserve">
Perdiem (15 part+5 chauf)= 420 000
Carburant: 20Lx10000x5= 1 000 000/20 = 50 000
Fourniture: 25000 = 12 500
Location salle: 15 000 000/20 = 750 000
TOTAL = 1 245 000</t>
        </r>
      </text>
    </comment>
    <comment ref="U116" authorId="0" shapeId="0">
      <text>
        <r>
          <rPr>
            <b/>
            <sz val="9"/>
            <color indexed="81"/>
            <rFont val="Tahoma"/>
            <family val="2"/>
          </rPr>
          <t>Abdoul A.. Diallo:</t>
        </r>
        <r>
          <rPr>
            <sz val="9"/>
            <color indexed="81"/>
            <rFont val="Tahoma"/>
            <family val="2"/>
          </rPr>
          <t xml:space="preserve">
Perdiem (15 part+5 chauf)= 420 000
Carburant: 20Lx10000x5= 1 000 000/20 = 50 000
Fourniture: 25000 = 12 500
Location salle: 15 000 000/20 = 750 000
TOTAL = 1 245 000</t>
        </r>
      </text>
    </comment>
    <comment ref="AA116" authorId="0" shapeId="0">
      <text>
        <r>
          <rPr>
            <b/>
            <sz val="9"/>
            <color indexed="81"/>
            <rFont val="Tahoma"/>
            <family val="2"/>
          </rPr>
          <t>Abdoul A.. Diallo:</t>
        </r>
        <r>
          <rPr>
            <sz val="9"/>
            <color indexed="81"/>
            <rFont val="Tahoma"/>
            <family val="2"/>
          </rPr>
          <t xml:space="preserve">
Perdiem (15 part+5 chauf)= 420 000
Carburant: 20Lx10000x5= 1 000 000/20 = 50 000
Fourniture: 25000 = 12 500
Location salle: 15 000 000/20 = 750 000
TOTAL = 1 245 000</t>
        </r>
      </text>
    </comment>
    <comment ref="AG116" authorId="0" shapeId="0">
      <text>
        <r>
          <rPr>
            <b/>
            <sz val="9"/>
            <color indexed="81"/>
            <rFont val="Tahoma"/>
            <family val="2"/>
          </rPr>
          <t>Abdoul A.. Diallo:</t>
        </r>
        <r>
          <rPr>
            <sz val="9"/>
            <color indexed="81"/>
            <rFont val="Tahoma"/>
            <family val="2"/>
          </rPr>
          <t xml:space="preserve">
Perdiem (15 part+5 chauf)= 420 000
Carburant: 20Lx10000x5= 1 000 000/20 = 50 000
Fourniture: 25000 = 12 500
Location salle: 15 000 000/20 = 750 000
TOTAL = 1 245 000</t>
        </r>
      </text>
    </comment>
    <comment ref="I117" authorId="0" shapeId="0">
      <text>
        <r>
          <rPr>
            <b/>
            <sz val="9"/>
            <color indexed="81"/>
            <rFont val="Tahoma"/>
            <family val="2"/>
          </rPr>
          <t>Abdoul A.. Diallo:</t>
        </r>
        <r>
          <rPr>
            <sz val="9"/>
            <color indexed="81"/>
            <rFont val="Tahoma"/>
            <family val="2"/>
          </rPr>
          <t xml:space="preserve">
Forfait collation= 10 000 000
Forfait outil ICC (T-shirt+banderole): 8 000 000
Location salle: 1 000 000 
table ronde télé: 5 000 000
Couverture média: 200 000 x 5 = 1 000 000
TOTAL = 25 000 000</t>
        </r>
      </text>
    </comment>
    <comment ref="O117" authorId="0" shapeId="0">
      <text>
        <r>
          <rPr>
            <b/>
            <sz val="9"/>
            <color indexed="81"/>
            <rFont val="Tahoma"/>
            <family val="2"/>
          </rPr>
          <t>Abdoul A.. Diallo:</t>
        </r>
        <r>
          <rPr>
            <sz val="9"/>
            <color indexed="81"/>
            <rFont val="Tahoma"/>
            <family val="2"/>
          </rPr>
          <t xml:space="preserve">
Forfait collation= 10 000 000
Forfait outil ICC (T-shirt+banderole): 8 000 000
Location salle: 1 000 000 
table ronde télé: 5 000 000
Couverture média: 200 000 x 5 = 1 000 000
TOTAL = 25 000 000</t>
        </r>
      </text>
    </comment>
    <comment ref="U117" authorId="0" shapeId="0">
      <text>
        <r>
          <rPr>
            <b/>
            <sz val="9"/>
            <color indexed="81"/>
            <rFont val="Tahoma"/>
            <family val="2"/>
          </rPr>
          <t>Abdoul A.. Diallo:</t>
        </r>
        <r>
          <rPr>
            <sz val="9"/>
            <color indexed="81"/>
            <rFont val="Tahoma"/>
            <family val="2"/>
          </rPr>
          <t xml:space="preserve">
Forfait collation= 10 000 000
Forfait outil ICC (T-shirt+banderole): 8 000 000
Location salle: 1 000 000 
table ronde télé: 5 000 000
Couverture média: 200 000 x 5 = 1 000 000
TOTAL = 25 000 000</t>
        </r>
      </text>
    </comment>
    <comment ref="AA117" authorId="0" shapeId="0">
      <text>
        <r>
          <rPr>
            <b/>
            <sz val="9"/>
            <color indexed="81"/>
            <rFont val="Tahoma"/>
            <family val="2"/>
          </rPr>
          <t>Abdoul A.. Diallo:</t>
        </r>
        <r>
          <rPr>
            <sz val="9"/>
            <color indexed="81"/>
            <rFont val="Tahoma"/>
            <family val="2"/>
          </rPr>
          <t xml:space="preserve">
Forfait collation= 10 000 000
Forfait outil ICC (T-shirt+banderole): 8 000 000
Location salle: 1 000 000 
table ronde télé: 5 000 000
Couverture média: 200 000 x 5 = 1 000 000
TOTAL = 25 000 000</t>
        </r>
      </text>
    </comment>
    <comment ref="AG117" authorId="0" shapeId="0">
      <text>
        <r>
          <rPr>
            <b/>
            <sz val="9"/>
            <color indexed="81"/>
            <rFont val="Tahoma"/>
            <family val="2"/>
          </rPr>
          <t>Abdoul A.. Diallo:</t>
        </r>
        <r>
          <rPr>
            <sz val="9"/>
            <color indexed="81"/>
            <rFont val="Tahoma"/>
            <family val="2"/>
          </rPr>
          <t xml:space="preserve">
Forfait collation= 10 000 000
Forfait outil ICC (T-shirt+banderole): 8 000 000
Location salle: 1 000 000 
table ronde télé: 5 000 000
Couverture média: 200 000 x 5 = 1 000 000
TOTAL = 25 000 000</t>
        </r>
      </text>
    </comment>
    <comment ref="I119" authorId="0" shapeId="0">
      <text>
        <r>
          <rPr>
            <b/>
            <sz val="9"/>
            <color indexed="81"/>
            <rFont val="Tahoma"/>
            <family val="2"/>
          </rPr>
          <t>Abdoul A.. Diallo:</t>
        </r>
        <r>
          <rPr>
            <sz val="9"/>
            <color indexed="81"/>
            <rFont val="Tahoma"/>
            <family val="2"/>
          </rPr>
          <t xml:space="preserve">
Perdiem: 420 000x15persx5j 
</t>
        </r>
      </text>
    </comment>
    <comment ref="O119" authorId="0" shapeId="0">
      <text>
        <r>
          <rPr>
            <b/>
            <sz val="9"/>
            <color indexed="81"/>
            <rFont val="Tahoma"/>
            <family val="2"/>
          </rPr>
          <t>Abdoul A.. Diallo:</t>
        </r>
        <r>
          <rPr>
            <sz val="9"/>
            <color indexed="81"/>
            <rFont val="Tahoma"/>
            <family val="2"/>
          </rPr>
          <t xml:space="preserve">
Perdiem: 420 000x15persx5j 
</t>
        </r>
      </text>
    </comment>
    <comment ref="U119" authorId="0" shapeId="0">
      <text>
        <r>
          <rPr>
            <b/>
            <sz val="9"/>
            <color indexed="81"/>
            <rFont val="Tahoma"/>
            <family val="2"/>
          </rPr>
          <t>Abdoul A.. Diallo:</t>
        </r>
        <r>
          <rPr>
            <sz val="9"/>
            <color indexed="81"/>
            <rFont val="Tahoma"/>
            <family val="2"/>
          </rPr>
          <t xml:space="preserve">
Perdiem: 420 000x15persx5j 
</t>
        </r>
      </text>
    </comment>
    <comment ref="AA119" authorId="0" shapeId="0">
      <text>
        <r>
          <rPr>
            <b/>
            <sz val="9"/>
            <color indexed="81"/>
            <rFont val="Tahoma"/>
            <family val="2"/>
          </rPr>
          <t>Abdoul A.. Diallo:</t>
        </r>
        <r>
          <rPr>
            <sz val="9"/>
            <color indexed="81"/>
            <rFont val="Tahoma"/>
            <family val="2"/>
          </rPr>
          <t xml:space="preserve">
Perdiem: 420 000x15persx5j 
</t>
        </r>
      </text>
    </comment>
    <comment ref="AG119" authorId="0" shapeId="0">
      <text>
        <r>
          <rPr>
            <b/>
            <sz val="9"/>
            <color indexed="81"/>
            <rFont val="Tahoma"/>
            <family val="2"/>
          </rPr>
          <t>Abdoul A.. Diallo:</t>
        </r>
        <r>
          <rPr>
            <sz val="9"/>
            <color indexed="81"/>
            <rFont val="Tahoma"/>
            <family val="2"/>
          </rPr>
          <t xml:space="preserve">
Perdiem: 420 000x15persx5j 
</t>
        </r>
      </text>
    </comment>
    <comment ref="I120" authorId="0" shapeId="0">
      <text>
        <r>
          <rPr>
            <b/>
            <sz val="9"/>
            <color indexed="81"/>
            <rFont val="Tahoma"/>
            <family val="2"/>
          </rPr>
          <t>Abdoul A.. Diallo:</t>
        </r>
        <r>
          <rPr>
            <sz val="9"/>
            <color indexed="81"/>
            <rFont val="Tahoma"/>
            <family val="2"/>
          </rPr>
          <t xml:space="preserve">
Perdiem: 420 000x25persx5j 
Carburant: 20Lx10000= 200 000
Loacation salle: 1000 000/25 = 40 000
TOTAL = 660 000
</t>
        </r>
      </text>
    </comment>
    <comment ref="O120" authorId="0" shapeId="0">
      <text>
        <r>
          <rPr>
            <b/>
            <sz val="9"/>
            <color indexed="81"/>
            <rFont val="Tahoma"/>
            <family val="2"/>
          </rPr>
          <t>Abdoul A.. Diallo:</t>
        </r>
        <r>
          <rPr>
            <sz val="9"/>
            <color indexed="81"/>
            <rFont val="Tahoma"/>
            <family val="2"/>
          </rPr>
          <t xml:space="preserve">
Perdiem: 420 000x25persx5j 
Carburant: 20Lx10000= 200 000
Loacation salle: 1000 000/25 = 40 000
TOTAL = 660 000
</t>
        </r>
      </text>
    </comment>
    <comment ref="U120" authorId="0" shapeId="0">
      <text>
        <r>
          <rPr>
            <b/>
            <sz val="9"/>
            <color indexed="81"/>
            <rFont val="Tahoma"/>
            <family val="2"/>
          </rPr>
          <t>Abdoul A.. Diallo:</t>
        </r>
        <r>
          <rPr>
            <sz val="9"/>
            <color indexed="81"/>
            <rFont val="Tahoma"/>
            <family val="2"/>
          </rPr>
          <t xml:space="preserve">
Perdiem: 420 000x25persx5j 
Carburant: 20Lx10000= 200 000
Loacation salle: 1000 000/25 = 40 000
TOTAL = 660 000
</t>
        </r>
      </text>
    </comment>
    <comment ref="AA120" authorId="0" shapeId="0">
      <text>
        <r>
          <rPr>
            <b/>
            <sz val="9"/>
            <color indexed="81"/>
            <rFont val="Tahoma"/>
            <family val="2"/>
          </rPr>
          <t>Abdoul A.. Diallo:</t>
        </r>
        <r>
          <rPr>
            <sz val="9"/>
            <color indexed="81"/>
            <rFont val="Tahoma"/>
            <family val="2"/>
          </rPr>
          <t xml:space="preserve">
Perdiem: 420 000x25persx5j 
Carburant: 20Lx10000= 200 000
Loacation salle: 1000 000/25 = 40 000
TOTAL = 660 000
</t>
        </r>
      </text>
    </comment>
    <comment ref="AG120" authorId="0" shapeId="0">
      <text>
        <r>
          <rPr>
            <b/>
            <sz val="9"/>
            <color indexed="81"/>
            <rFont val="Tahoma"/>
            <family val="2"/>
          </rPr>
          <t>Abdoul A.. Diallo:</t>
        </r>
        <r>
          <rPr>
            <sz val="9"/>
            <color indexed="81"/>
            <rFont val="Tahoma"/>
            <family val="2"/>
          </rPr>
          <t xml:space="preserve">
Perdiem: 420 000x25persx5j 
Carburant: 20Lx10000= 200 000
Loacation salle: 1000 000/25 = 40 000
TOTAL = 660 000
</t>
        </r>
      </text>
    </comment>
    <comment ref="I121" authorId="0" shapeId="0">
      <text>
        <r>
          <rPr>
            <b/>
            <sz val="9"/>
            <color indexed="81"/>
            <rFont val="Tahoma"/>
            <family val="2"/>
          </rPr>
          <t>Abdoul A.. Diallo:</t>
        </r>
        <r>
          <rPr>
            <sz val="9"/>
            <color indexed="81"/>
            <rFont val="Tahoma"/>
            <family val="2"/>
          </rPr>
          <t xml:space="preserve">
Perdiem: 420 000x15persx5j 
</t>
        </r>
      </text>
    </comment>
    <comment ref="I122" authorId="0" shapeId="0">
      <text>
        <r>
          <rPr>
            <b/>
            <sz val="9"/>
            <color indexed="81"/>
            <rFont val="Tahoma"/>
            <family val="2"/>
          </rPr>
          <t>Abdoul A.. Diallo:</t>
        </r>
        <r>
          <rPr>
            <sz val="9"/>
            <color indexed="81"/>
            <rFont val="Tahoma"/>
            <family val="2"/>
          </rPr>
          <t xml:space="preserve">
Elaboration TDR (4 pers/3j): 420 000x9 = 3 780 000
DiffisTDR dans les médias: 750 000x3Médias = 2 250 000/9 = 250 000
Honoraire consultant:2 500 000x15J = 37 500 000/9 = 4 166 667
TOTAL = 4 836 667</t>
        </r>
      </text>
    </comment>
    <comment ref="O122" authorId="0" shapeId="0">
      <text>
        <r>
          <rPr>
            <b/>
            <sz val="9"/>
            <color indexed="81"/>
            <rFont val="Tahoma"/>
            <family val="2"/>
          </rPr>
          <t>Abdoul A.. Diallo:</t>
        </r>
        <r>
          <rPr>
            <sz val="9"/>
            <color indexed="81"/>
            <rFont val="Tahoma"/>
            <family val="2"/>
          </rPr>
          <t xml:space="preserve">
Elaboration TDR (4 pers/3j): 420 000x9 = 3 780 000
DiffisTDR dans les médias: 750 000x3Médias = 2 250 000/9 = 250 000
Honoraire consultant:2 500 000x15J = 37 500 000/9 = 4 166 667
TOTAL = 4 836 667</t>
        </r>
      </text>
    </comment>
    <comment ref="U122" authorId="0" shapeId="0">
      <text>
        <r>
          <rPr>
            <b/>
            <sz val="9"/>
            <color indexed="81"/>
            <rFont val="Tahoma"/>
            <family val="2"/>
          </rPr>
          <t>Abdoul A.. Diallo:</t>
        </r>
        <r>
          <rPr>
            <sz val="9"/>
            <color indexed="81"/>
            <rFont val="Tahoma"/>
            <family val="2"/>
          </rPr>
          <t xml:space="preserve">
Elaboration TDR (4 pers/3j): 420 000x9 = 3 780 000
DiffisTDR dans les médias: 750 000x3Médias = 2 250 000/9 = 250 000
Honoraire consultant:2 500 000x15J = 37 500 000/9 = 4 166 667
TOTAL = 4 836 667</t>
        </r>
      </text>
    </comment>
    <comment ref="AA122" authorId="0" shapeId="0">
      <text>
        <r>
          <rPr>
            <b/>
            <sz val="9"/>
            <color indexed="81"/>
            <rFont val="Tahoma"/>
            <family val="2"/>
          </rPr>
          <t>Abdoul A.. Diallo:</t>
        </r>
        <r>
          <rPr>
            <sz val="9"/>
            <color indexed="81"/>
            <rFont val="Tahoma"/>
            <family val="2"/>
          </rPr>
          <t xml:space="preserve">
Elaboration TDR (4 pers/3j): 420 000x9 = 3 780 000
DiffisTDR dans les médias: 750 000x3Médias = 2 250 000/9 = 250 000
Honoraire consultant:2 500 000x15J = 37 500 000/9 = 4 166 667
TOTAL = 4 836 667</t>
        </r>
      </text>
    </comment>
    <comment ref="AG122" authorId="0" shapeId="0">
      <text>
        <r>
          <rPr>
            <b/>
            <sz val="9"/>
            <color indexed="81"/>
            <rFont val="Tahoma"/>
            <family val="2"/>
          </rPr>
          <t>Abdoul A.. Diallo:</t>
        </r>
        <r>
          <rPr>
            <sz val="9"/>
            <color indexed="81"/>
            <rFont val="Tahoma"/>
            <family val="2"/>
          </rPr>
          <t xml:space="preserve">
Elaboration TDR (4 pers/3j): 420 000x9 = 3 780 000
DiffisTDR dans les médias: 750 000x3Médias = 2 250 000/9 = 250 000
Honoraire consultant:2 500 000x15J = 37 500 000/9 = 4 166 667
TOTAL = 4 836 667</t>
        </r>
      </text>
    </comment>
    <comment ref="I124" authorId="0" shapeId="0">
      <text>
        <r>
          <rPr>
            <b/>
            <sz val="9"/>
            <color indexed="81"/>
            <rFont val="Tahoma"/>
            <family val="2"/>
          </rPr>
          <t>Abdoul A.. Diallo:</t>
        </r>
        <r>
          <rPr>
            <sz val="9"/>
            <color indexed="81"/>
            <rFont val="Tahoma"/>
            <family val="2"/>
          </rPr>
          <t xml:space="preserve">
Perdiem: 420 000
Participants 20 , Chauff 6 
Carburant: 135x2x10000x6/130= 124615
Loacation salle: 1000 000/26 = 38462
TOTAL = 583077
</t>
        </r>
      </text>
    </comment>
    <comment ref="O124" authorId="0" shapeId="0">
      <text>
        <r>
          <rPr>
            <b/>
            <sz val="9"/>
            <color indexed="81"/>
            <rFont val="Tahoma"/>
            <family val="2"/>
          </rPr>
          <t>Abdoul A.. Diallo:</t>
        </r>
        <r>
          <rPr>
            <sz val="9"/>
            <color indexed="81"/>
            <rFont val="Tahoma"/>
            <family val="2"/>
          </rPr>
          <t xml:space="preserve">
Perdiem: 420 000
Participants 20 , Chauff 6 
Carburant: 135x2x10000x6/130= 124615
Loacation salle: 1000 000/26 = 38462
TOTAL = 583077
</t>
        </r>
      </text>
    </comment>
    <comment ref="U124" authorId="0" shapeId="0">
      <text>
        <r>
          <rPr>
            <b/>
            <sz val="9"/>
            <color indexed="81"/>
            <rFont val="Tahoma"/>
            <family val="2"/>
          </rPr>
          <t>Abdoul A.. Diallo:</t>
        </r>
        <r>
          <rPr>
            <sz val="9"/>
            <color indexed="81"/>
            <rFont val="Tahoma"/>
            <family val="2"/>
          </rPr>
          <t xml:space="preserve">
Perdiem: 420 000
Participants 20 , Chauff 6 
Carburant: 135x2x10000x6/130= 124615
Loacation salle: 1000 000/26 = 38462
TOTAL = 583077
</t>
        </r>
      </text>
    </comment>
    <comment ref="AA124" authorId="0" shapeId="0">
      <text>
        <r>
          <rPr>
            <b/>
            <sz val="9"/>
            <color indexed="81"/>
            <rFont val="Tahoma"/>
            <family val="2"/>
          </rPr>
          <t>Abdoul A.. Diallo:</t>
        </r>
        <r>
          <rPr>
            <sz val="9"/>
            <color indexed="81"/>
            <rFont val="Tahoma"/>
            <family val="2"/>
          </rPr>
          <t xml:space="preserve">
Perdiem: 420 000
Participants 20 , Chauff 6 
Carburant: 135x2x10000x6/130= 124615
Loacation salle: 1000 000/26 = 38462
TOTAL = 583077
</t>
        </r>
      </text>
    </comment>
    <comment ref="AG124" authorId="0" shapeId="0">
      <text>
        <r>
          <rPr>
            <b/>
            <sz val="9"/>
            <color indexed="81"/>
            <rFont val="Tahoma"/>
            <family val="2"/>
          </rPr>
          <t>Abdoul A.. Diallo:</t>
        </r>
        <r>
          <rPr>
            <sz val="9"/>
            <color indexed="81"/>
            <rFont val="Tahoma"/>
            <family val="2"/>
          </rPr>
          <t xml:space="preserve">
Perdiem: 420 000
Participants 20 , Chauff 6 
Carburant: 135x2x10000x6/130= 124615
Loacation salle: 1000 000/26 = 38462
TOTAL = 583077
</t>
        </r>
      </text>
    </comment>
    <comment ref="I125" authorId="4" shapeId="0">
      <text>
        <r>
          <rPr>
            <b/>
            <sz val="9"/>
            <color indexed="81"/>
            <rFont val="Tahoma"/>
            <charset val="1"/>
          </rPr>
          <t>Dell:</t>
        </r>
        <r>
          <rPr>
            <sz val="9"/>
            <color indexed="81"/>
            <rFont val="Tahoma"/>
            <charset val="1"/>
          </rPr>
          <t xml:space="preserve">
</t>
        </r>
      </text>
    </comment>
    <comment ref="I126" authorId="4" shapeId="0">
      <text>
        <r>
          <rPr>
            <b/>
            <sz val="9"/>
            <color indexed="81"/>
            <rFont val="Tahoma"/>
            <charset val="1"/>
          </rPr>
          <t>Dell:</t>
        </r>
        <r>
          <rPr>
            <sz val="9"/>
            <color indexed="81"/>
            <rFont val="Tahoma"/>
            <charset val="1"/>
          </rPr>
          <t xml:space="preserve">
Perdiem: 420 000
Participants 25 , Chauff 7 
Carburant: 135x2x10000x7/350= 54000
Loacation salle: 1000 000/32 = 31250
TOTAL = 505250</t>
        </r>
      </text>
    </comment>
    <comment ref="O126" authorId="4" shapeId="0">
      <text>
        <r>
          <rPr>
            <b/>
            <sz val="9"/>
            <color indexed="81"/>
            <rFont val="Tahoma"/>
            <charset val="1"/>
          </rPr>
          <t>Dell:</t>
        </r>
        <r>
          <rPr>
            <sz val="9"/>
            <color indexed="81"/>
            <rFont val="Tahoma"/>
            <charset val="1"/>
          </rPr>
          <t xml:space="preserve">
Perdiem: 420 000
Participants 25 , Chauff 7 
Carburant: 135x2x10000x7/350= 54000
Loacation salle: 1000 000/32 = 31250
TOTAL = 505250</t>
        </r>
      </text>
    </comment>
    <comment ref="U126" authorId="4" shapeId="0">
      <text>
        <r>
          <rPr>
            <b/>
            <sz val="9"/>
            <color indexed="81"/>
            <rFont val="Tahoma"/>
            <charset val="1"/>
          </rPr>
          <t>Dell:</t>
        </r>
        <r>
          <rPr>
            <sz val="9"/>
            <color indexed="81"/>
            <rFont val="Tahoma"/>
            <charset val="1"/>
          </rPr>
          <t xml:space="preserve">
Perdiem: 420 000
Participants 25 , Chauff 7 
Carburant: 135x2x10000x7/350= 54000
Loacation salle: 1000 000/32 = 31250
TOTAL = 505250</t>
        </r>
      </text>
    </comment>
    <comment ref="AA126" authorId="4" shapeId="0">
      <text>
        <r>
          <rPr>
            <b/>
            <sz val="9"/>
            <color indexed="81"/>
            <rFont val="Tahoma"/>
            <charset val="1"/>
          </rPr>
          <t>Dell:</t>
        </r>
        <r>
          <rPr>
            <sz val="9"/>
            <color indexed="81"/>
            <rFont val="Tahoma"/>
            <charset val="1"/>
          </rPr>
          <t xml:space="preserve">
Perdiem: 420 000
Participants 25 , Chauff 7 
Carburant: 135x2x10000x7/350= 54000
Loacation salle: 1000 000/32 = 31250
TOTAL = 505250</t>
        </r>
      </text>
    </comment>
    <comment ref="AG126" authorId="4" shapeId="0">
      <text>
        <r>
          <rPr>
            <b/>
            <sz val="9"/>
            <color indexed="81"/>
            <rFont val="Tahoma"/>
            <charset val="1"/>
          </rPr>
          <t>Dell:</t>
        </r>
        <r>
          <rPr>
            <sz val="9"/>
            <color indexed="81"/>
            <rFont val="Tahoma"/>
            <charset val="1"/>
          </rPr>
          <t xml:space="preserve">
Perdiem: 420 000
Participants 25 , Chauff 7 
Carburant: 135x2x10000x7/350= 54000
Loacation salle: 1000 000/32 = 31250
TOTAL = 505250</t>
        </r>
      </text>
    </comment>
    <comment ref="I127" authorId="2" shapeId="0">
      <text>
        <r>
          <rPr>
            <b/>
            <sz val="9"/>
            <color indexed="81"/>
            <rFont val="Tahoma"/>
            <family val="2"/>
          </rPr>
          <t xml:space="preserve">
</t>
        </r>
        <r>
          <rPr>
            <sz val="9"/>
            <color indexed="81"/>
            <rFont val="Tahoma"/>
            <family val="2"/>
          </rPr>
          <t>perdiem 2 format,404 participant et  38 Chauffeur: 420000
support: 25000/5=5000
transport: 600000/5=120000
location salle = 1 000 000/30=33333
total =578333</t>
        </r>
      </text>
    </comment>
    <comment ref="M127" authorId="2" shapeId="0">
      <text>
        <r>
          <rPr>
            <sz val="9"/>
            <color indexed="81"/>
            <rFont val="Tahoma"/>
            <family val="2"/>
          </rPr>
          <t xml:space="preserve">38sessions de formation
</t>
        </r>
      </text>
    </comment>
    <comment ref="O127" authorId="2" shapeId="0">
      <text>
        <r>
          <rPr>
            <b/>
            <sz val="9"/>
            <color indexed="81"/>
            <rFont val="Tahoma"/>
            <family val="2"/>
          </rPr>
          <t xml:space="preserve">
</t>
        </r>
        <r>
          <rPr>
            <sz val="9"/>
            <color indexed="81"/>
            <rFont val="Tahoma"/>
            <family val="2"/>
          </rPr>
          <t>perdiem 2 format,404 participant et  38 Chauffeur: 420000
support: 25000/5=5000
transport: 600000/5=120000
location salle = 1 000 000/30=33333
total =578333</t>
        </r>
      </text>
    </comment>
    <comment ref="S127" authorId="2" shapeId="0">
      <text>
        <r>
          <rPr>
            <sz val="9"/>
            <color indexed="81"/>
            <rFont val="Tahoma"/>
            <family val="2"/>
          </rPr>
          <t xml:space="preserve">38sessions de formation
</t>
        </r>
      </text>
    </comment>
    <comment ref="U127" authorId="2" shapeId="0">
      <text>
        <r>
          <rPr>
            <b/>
            <sz val="9"/>
            <color indexed="81"/>
            <rFont val="Tahoma"/>
            <family val="2"/>
          </rPr>
          <t xml:space="preserve">
</t>
        </r>
        <r>
          <rPr>
            <sz val="9"/>
            <color indexed="81"/>
            <rFont val="Tahoma"/>
            <family val="2"/>
          </rPr>
          <t>perdiem 2 format,404 participant et  38 Chauffeur: 420000
support: 25000/5=5000
transport: 600000/5=120000
location salle = 1 000 000/30=33333
total =578333</t>
        </r>
      </text>
    </comment>
    <comment ref="Y127" authorId="2" shapeId="0">
      <text>
        <r>
          <rPr>
            <sz val="9"/>
            <color indexed="81"/>
            <rFont val="Tahoma"/>
            <family val="2"/>
          </rPr>
          <t xml:space="preserve">38sessions de formation
</t>
        </r>
      </text>
    </comment>
    <comment ref="AA127" authorId="2" shapeId="0">
      <text>
        <r>
          <rPr>
            <b/>
            <sz val="9"/>
            <color indexed="81"/>
            <rFont val="Tahoma"/>
            <family val="2"/>
          </rPr>
          <t xml:space="preserve">
</t>
        </r>
        <r>
          <rPr>
            <sz val="9"/>
            <color indexed="81"/>
            <rFont val="Tahoma"/>
            <family val="2"/>
          </rPr>
          <t>perdiem 2 format,404 participant et  38 Chauffeur: 420000
support: 25000/5=5000
transport: 600000/5=120000
location salle = 1 000 000/30=33333
total =578333</t>
        </r>
      </text>
    </comment>
    <comment ref="AE127" authorId="2" shapeId="0">
      <text>
        <r>
          <rPr>
            <sz val="9"/>
            <color indexed="81"/>
            <rFont val="Tahoma"/>
            <family val="2"/>
          </rPr>
          <t xml:space="preserve">38sessions de formation
</t>
        </r>
      </text>
    </comment>
    <comment ref="AG127" authorId="2" shapeId="0">
      <text>
        <r>
          <rPr>
            <b/>
            <sz val="9"/>
            <color indexed="81"/>
            <rFont val="Tahoma"/>
            <family val="2"/>
          </rPr>
          <t xml:space="preserve">
</t>
        </r>
        <r>
          <rPr>
            <sz val="9"/>
            <color indexed="81"/>
            <rFont val="Tahoma"/>
            <family val="2"/>
          </rPr>
          <t>perdiem 2 format,404 participant et  38 Chauffeur: 420000
support: 25000/5=5000
transport: 600000/5=120000
location salle = 1 000 000/30=33333
total =578333</t>
        </r>
      </text>
    </comment>
    <comment ref="AK127" authorId="2" shapeId="0">
      <text>
        <r>
          <rPr>
            <sz val="9"/>
            <color indexed="81"/>
            <rFont val="Tahoma"/>
            <family val="2"/>
          </rPr>
          <t xml:space="preserve">38sessions de formation
</t>
        </r>
      </text>
    </comment>
    <comment ref="I128" authorId="3" shapeId="0">
      <text>
        <r>
          <rPr>
            <b/>
            <sz val="9"/>
            <color indexed="81"/>
            <rFont val="Tahoma"/>
            <family val="2"/>
          </rPr>
          <t>moise kagbadouno:</t>
        </r>
        <r>
          <rPr>
            <sz val="9"/>
            <color indexed="81"/>
            <rFont val="Tahoma"/>
            <family val="2"/>
          </rPr>
          <t xml:space="preserve">
carb veh: 360000/6=60000
perdièm : 420000 pour 8 cadres
chauf 4
carb 20L x 4X10000= 8000000/12 =66667
location salle 1000000/12 = 83333
total = 570000</t>
        </r>
      </text>
    </comment>
    <comment ref="O128" authorId="3" shapeId="0">
      <text>
        <r>
          <rPr>
            <b/>
            <sz val="9"/>
            <color indexed="81"/>
            <rFont val="Tahoma"/>
            <family val="2"/>
          </rPr>
          <t>moise kagbadouno:</t>
        </r>
        <r>
          <rPr>
            <sz val="9"/>
            <color indexed="81"/>
            <rFont val="Tahoma"/>
            <family val="2"/>
          </rPr>
          <t xml:space="preserve">
carb veh: 360000/6=60000
perdièm : 420000 pour 8 cadres
chauf 4
carb 20L x 4X10000= 8000000/12 =66667
location salle 1000000/12 = 83333
total = 570000</t>
        </r>
      </text>
    </comment>
    <comment ref="U128" authorId="3" shapeId="0">
      <text>
        <r>
          <rPr>
            <b/>
            <sz val="9"/>
            <color indexed="81"/>
            <rFont val="Tahoma"/>
            <family val="2"/>
          </rPr>
          <t>moise kagbadouno:</t>
        </r>
        <r>
          <rPr>
            <sz val="9"/>
            <color indexed="81"/>
            <rFont val="Tahoma"/>
            <family val="2"/>
          </rPr>
          <t xml:space="preserve">
carb veh: 360000/6=60000
perdièm : 420000 pour 8 cadres
chauf 4
carb 20L x 4X10000= 8000000/12 =66667
location salle 1000000/12 = 83333
total = 570000</t>
        </r>
      </text>
    </comment>
    <comment ref="AA128" authorId="3" shapeId="0">
      <text>
        <r>
          <rPr>
            <b/>
            <sz val="9"/>
            <color indexed="81"/>
            <rFont val="Tahoma"/>
            <family val="2"/>
          </rPr>
          <t>moise kagbadouno:</t>
        </r>
        <r>
          <rPr>
            <sz val="9"/>
            <color indexed="81"/>
            <rFont val="Tahoma"/>
            <family val="2"/>
          </rPr>
          <t xml:space="preserve">
carb veh: 360000/6=60000
perdièm : 420000 pour 8 cadres
chauf 4
carb 20L x 4X10000= 8000000/12 =66667
location salle 1000000/12 = 83333
total = 570000</t>
        </r>
      </text>
    </comment>
    <comment ref="AG128" authorId="3" shapeId="0">
      <text>
        <r>
          <rPr>
            <b/>
            <sz val="9"/>
            <color indexed="81"/>
            <rFont val="Tahoma"/>
            <family val="2"/>
          </rPr>
          <t>moise kagbadouno:</t>
        </r>
        <r>
          <rPr>
            <sz val="9"/>
            <color indexed="81"/>
            <rFont val="Tahoma"/>
            <family val="2"/>
          </rPr>
          <t xml:space="preserve">
carb veh: 360000/6=60000
perdièm : 420000 pour 8 cadres
chauf 4
carb 20L x 4X10000= 8000000/12 =66667
location salle 1000000/12 = 83333
total = 570000</t>
        </r>
      </text>
    </comment>
    <comment ref="I129" authorId="0" shapeId="0">
      <text>
        <r>
          <rPr>
            <b/>
            <sz val="9"/>
            <color indexed="81"/>
            <rFont val="Tahoma"/>
            <family val="2"/>
          </rPr>
          <t>Abdoul A.. Diallo:</t>
        </r>
        <r>
          <rPr>
            <sz val="9"/>
            <color indexed="81"/>
            <rFont val="Tahoma"/>
            <family val="2"/>
          </rPr>
          <t xml:space="preserve">
Perdiem(24 pers + 2 form) = 420 000
Transport (24 part): 500 000x24 = 12 000 000/26x7 = 65 934
Location salle: 1000 000/26 = 38 461
Fourniture de Bureau: 25 000/7 = 3 571
TOTAL = 694 500</t>
        </r>
      </text>
    </comment>
    <comment ref="O129" authorId="0" shapeId="0">
      <text>
        <r>
          <rPr>
            <b/>
            <sz val="9"/>
            <color indexed="81"/>
            <rFont val="Tahoma"/>
            <family val="2"/>
          </rPr>
          <t>Abdoul A.. Diallo:</t>
        </r>
        <r>
          <rPr>
            <sz val="9"/>
            <color indexed="81"/>
            <rFont val="Tahoma"/>
            <family val="2"/>
          </rPr>
          <t xml:space="preserve">
Perdiem(24 pers + 2 form) = 420 000
Transport (24 part): 500 000x24 = 12 000 000/26x7 = 65 934
Location salle: 1000 000/26 = 38 461
Fourniture de Bureau: 25 000/7 = 3 571
TOTAL = 694 500</t>
        </r>
      </text>
    </comment>
    <comment ref="U129" authorId="0" shapeId="0">
      <text>
        <r>
          <rPr>
            <b/>
            <sz val="9"/>
            <color indexed="81"/>
            <rFont val="Tahoma"/>
            <family val="2"/>
          </rPr>
          <t>Abdoul A.. Diallo:</t>
        </r>
        <r>
          <rPr>
            <sz val="9"/>
            <color indexed="81"/>
            <rFont val="Tahoma"/>
            <family val="2"/>
          </rPr>
          <t xml:space="preserve">
Perdiem(24 pers + 2 form) = 420 000
Transport (24 part): 500 000x24 = 12 000 000/26x7 = 65 934
Location salle: 1000 000/26 = 38 461
Fourniture de Bureau: 25 000/7 = 3 571
TOTAL = 694 500</t>
        </r>
      </text>
    </comment>
    <comment ref="AA129" authorId="0" shapeId="0">
      <text>
        <r>
          <rPr>
            <b/>
            <sz val="9"/>
            <color indexed="81"/>
            <rFont val="Tahoma"/>
            <family val="2"/>
          </rPr>
          <t>Abdoul A.. Diallo:</t>
        </r>
        <r>
          <rPr>
            <sz val="9"/>
            <color indexed="81"/>
            <rFont val="Tahoma"/>
            <family val="2"/>
          </rPr>
          <t xml:space="preserve">
Perdiem(24 pers + 2 form) = 420 000
Transport (24 part): 500 000x24 = 12 000 000/26x7 = 65 934
Location salle: 1000 000/26 = 38 461
Fourniture de Bureau: 25 000/7 = 3 571
TOTAL = 694 500</t>
        </r>
      </text>
    </comment>
    <comment ref="AG129" authorId="0" shapeId="0">
      <text>
        <r>
          <rPr>
            <b/>
            <sz val="9"/>
            <color indexed="81"/>
            <rFont val="Tahoma"/>
            <family val="2"/>
          </rPr>
          <t>Abdoul A.. Diallo:</t>
        </r>
        <r>
          <rPr>
            <sz val="9"/>
            <color indexed="81"/>
            <rFont val="Tahoma"/>
            <family val="2"/>
          </rPr>
          <t xml:space="preserve">
Perdiem(24 pers + 2 form) = 420 000
Transport (24 part): 500 000x24 = 12 000 000/26x7 = 65 934
Location salle: 1000 000/26 = 38 461
Fourniture de Bureau: 25 000/7 = 3 571
TOTAL = 694 500</t>
        </r>
      </text>
    </comment>
    <comment ref="I130" authorId="0" shapeId="0">
      <text>
        <r>
          <rPr>
            <b/>
            <sz val="9"/>
            <color indexed="81"/>
            <rFont val="Tahoma"/>
            <family val="2"/>
          </rPr>
          <t>Abdoul A.. Diallo:</t>
        </r>
        <r>
          <rPr>
            <sz val="9"/>
            <color indexed="81"/>
            <rFont val="Tahoma"/>
            <family val="2"/>
          </rPr>
          <t xml:space="preserve">
COUT GLOBAL/village ( Perdiem, caburant et achat petits materiels) = 5 016 246
 </t>
        </r>
      </text>
    </comment>
    <comment ref="O130" authorId="0" shapeId="0">
      <text>
        <r>
          <rPr>
            <b/>
            <sz val="9"/>
            <color indexed="81"/>
            <rFont val="Tahoma"/>
            <family val="2"/>
          </rPr>
          <t>Abdoul A.. Diallo:</t>
        </r>
        <r>
          <rPr>
            <sz val="9"/>
            <color indexed="81"/>
            <rFont val="Tahoma"/>
            <family val="2"/>
          </rPr>
          <t xml:space="preserve">
COUT GLOBAL/village ( Perdiem, caburant et achat petits materiels) = 5 016 246
 </t>
        </r>
      </text>
    </comment>
    <comment ref="U130" authorId="0" shapeId="0">
      <text>
        <r>
          <rPr>
            <b/>
            <sz val="9"/>
            <color indexed="81"/>
            <rFont val="Tahoma"/>
            <family val="2"/>
          </rPr>
          <t>Abdoul A.. Diallo:</t>
        </r>
        <r>
          <rPr>
            <sz val="9"/>
            <color indexed="81"/>
            <rFont val="Tahoma"/>
            <family val="2"/>
          </rPr>
          <t xml:space="preserve">
COUT GLOBAL/village ( Perdiem, caburant et achat petits materiels) = 5 016 246
 </t>
        </r>
      </text>
    </comment>
    <comment ref="AA130" authorId="0" shapeId="0">
      <text>
        <r>
          <rPr>
            <b/>
            <sz val="9"/>
            <color indexed="81"/>
            <rFont val="Tahoma"/>
            <family val="2"/>
          </rPr>
          <t>Abdoul A.. Diallo:</t>
        </r>
        <r>
          <rPr>
            <sz val="9"/>
            <color indexed="81"/>
            <rFont val="Tahoma"/>
            <family val="2"/>
          </rPr>
          <t xml:space="preserve">
COUT GLOBAL/village ( Perdiem, caburant et achat petits materiels) = 5 016 246
 </t>
        </r>
      </text>
    </comment>
    <comment ref="AG130" authorId="0" shapeId="0">
      <text>
        <r>
          <rPr>
            <b/>
            <sz val="9"/>
            <color indexed="81"/>
            <rFont val="Tahoma"/>
            <family val="2"/>
          </rPr>
          <t>Abdoul A.. Diallo:</t>
        </r>
        <r>
          <rPr>
            <sz val="9"/>
            <color indexed="81"/>
            <rFont val="Tahoma"/>
            <family val="2"/>
          </rPr>
          <t xml:space="preserve">
COUT GLOBAL/village ( Perdiem, caburant et achat petits materiels) = 5 016 246
 </t>
        </r>
      </text>
    </comment>
    <comment ref="I131" authorId="0" shapeId="0">
      <text>
        <r>
          <rPr>
            <b/>
            <sz val="9"/>
            <color indexed="81"/>
            <rFont val="Tahoma"/>
            <family val="2"/>
          </rPr>
          <t>Abdoul A.. Diallo:</t>
        </r>
        <r>
          <rPr>
            <sz val="9"/>
            <color indexed="81"/>
            <rFont val="Tahoma"/>
            <family val="2"/>
          </rPr>
          <t xml:space="preserve">
Perdiem (24 part)X38DS: 100 000
Carburant voy :135Lx10000 = 1 350 000/25 = 54 000
Forfait collaction: 100 000
Location salle: 10 000 000/25 = 40 000
TOTAL = 294 000 </t>
        </r>
      </text>
    </comment>
    <comment ref="O131"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U131"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AA131"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AG131" authorId="0" shapeId="0">
      <text>
        <r>
          <rPr>
            <b/>
            <sz val="9"/>
            <color indexed="81"/>
            <rFont val="Tahoma"/>
            <family val="2"/>
          </rPr>
          <t>Abdoul A.. Diallo:</t>
        </r>
        <r>
          <rPr>
            <sz val="9"/>
            <color indexed="81"/>
            <rFont val="Tahoma"/>
            <family val="2"/>
          </rPr>
          <t xml:space="preserve">
Perdiem (25 part)X38DS: 100 000
Carburant voy :135Lx10000 = 1 350 000/25 = 54 000
Forfait collaction: 100 000
Location salle: 10 000 000/25 = 40 000
TOTAL = 294 000 </t>
        </r>
      </text>
    </comment>
    <comment ref="I132" authorId="0" shapeId="0">
      <text>
        <r>
          <rPr>
            <b/>
            <sz val="9"/>
            <color indexed="81"/>
            <rFont val="Tahoma"/>
            <family val="2"/>
          </rPr>
          <t>Abdoul A.. Diallo:</t>
        </r>
        <r>
          <rPr>
            <sz val="9"/>
            <color indexed="81"/>
            <rFont val="Tahoma"/>
            <family val="2"/>
          </rPr>
          <t xml:space="preserve">
Location véhicule: 650 000x9veh/j /90= 65 000
Carburant: 135x10 000 x9 DS =
12 150 000/90 = 135 000
Perdiem : 420 000
Matériels : 27 000 000/ = 20 000
TOTAL = 640000</t>
        </r>
      </text>
    </comment>
    <comment ref="O132" authorId="0" shapeId="0">
      <text>
        <r>
          <rPr>
            <b/>
            <sz val="9"/>
            <color indexed="81"/>
            <rFont val="Tahoma"/>
            <family val="2"/>
          </rPr>
          <t>Abdoul A.. Diallo:</t>
        </r>
        <r>
          <rPr>
            <sz val="9"/>
            <color indexed="81"/>
            <rFont val="Tahoma"/>
            <family val="2"/>
          </rPr>
          <t xml:space="preserve">
Location véhicule: 650 000x9veh/j /90= 65 000
Carburant: 135x10 000 x9 DS =
12 150 000/90 = 135 000
Perdiem : 420 000
Matériels : 27 000 000/ = 20 000
TOTAL = 640000</t>
        </r>
      </text>
    </comment>
    <comment ref="U132" authorId="0" shapeId="0">
      <text>
        <r>
          <rPr>
            <b/>
            <sz val="9"/>
            <color indexed="81"/>
            <rFont val="Tahoma"/>
            <family val="2"/>
          </rPr>
          <t>Abdoul A.. Diallo:</t>
        </r>
        <r>
          <rPr>
            <sz val="9"/>
            <color indexed="81"/>
            <rFont val="Tahoma"/>
            <family val="2"/>
          </rPr>
          <t xml:space="preserve">
Location véhicule: 650 000x9veh/j /90= 65 000
Carburant: 135x10 000 x9 DS =
12 150 000/90 = 135 000
Perdiem : 420 000
Matériels : 27 000 000/ = 20 000
TOTAL = 640000</t>
        </r>
      </text>
    </comment>
    <comment ref="AA132" authorId="0" shapeId="0">
      <text>
        <r>
          <rPr>
            <b/>
            <sz val="9"/>
            <color indexed="81"/>
            <rFont val="Tahoma"/>
            <family val="2"/>
          </rPr>
          <t>Abdoul A.. Diallo:</t>
        </r>
        <r>
          <rPr>
            <sz val="9"/>
            <color indexed="81"/>
            <rFont val="Tahoma"/>
            <family val="2"/>
          </rPr>
          <t xml:space="preserve">
Location véhicule: 650 000x9veh/j /90= 65 000
Carburant: 135x10 000 x9 DS =
12 150 000/90 = 135 000
Perdiem : 420 000
Matériels : 27 000 000/ = 20 000
TOTAL = 640000</t>
        </r>
      </text>
    </comment>
    <comment ref="AG132" authorId="0" shapeId="0">
      <text>
        <r>
          <rPr>
            <b/>
            <sz val="9"/>
            <color indexed="81"/>
            <rFont val="Tahoma"/>
            <family val="2"/>
          </rPr>
          <t>Abdoul A.. Diallo:</t>
        </r>
        <r>
          <rPr>
            <sz val="9"/>
            <color indexed="81"/>
            <rFont val="Tahoma"/>
            <family val="2"/>
          </rPr>
          <t xml:space="preserve">
Location véhicule: 650 000x9veh/j /90= 65 000
Carburant: 135x10 000 x9 DS =
12 150 000/90 = 135 000
Perdiem : 420 000
Matériels : 27 000 000/ = 20 000
TOTAL = 640000</t>
        </r>
      </text>
    </comment>
    <comment ref="I134" authorId="0" shapeId="0">
      <text>
        <r>
          <rPr>
            <b/>
            <sz val="9"/>
            <color indexed="81"/>
            <rFont val="Tahoma"/>
            <family val="2"/>
          </rPr>
          <t>Abdoul A.. Diallo:</t>
        </r>
        <r>
          <rPr>
            <sz val="9"/>
            <color indexed="81"/>
            <rFont val="Tahoma"/>
            <family val="2"/>
          </rPr>
          <t xml:space="preserve">
Perdiem(5persx31DS) 155X 420 000
Carburant: 135Lx10000=1350000/155=8710
TOTAL= 428710</t>
        </r>
      </text>
    </comment>
    <comment ref="U134" authorId="0" shapeId="0">
      <text>
        <r>
          <rPr>
            <b/>
            <sz val="9"/>
            <color indexed="81"/>
            <rFont val="Tahoma"/>
            <family val="2"/>
          </rPr>
          <t>Abdoul A.. Diallo:</t>
        </r>
        <r>
          <rPr>
            <sz val="9"/>
            <color indexed="81"/>
            <rFont val="Tahoma"/>
            <family val="2"/>
          </rPr>
          <t xml:space="preserve">
Perdiem(5persx31DS) 155X 420 000
Carburant: 135Lx10000=1350000/155=8710
TOTAL= 428710</t>
        </r>
      </text>
    </comment>
    <comment ref="I135" authorId="0" shapeId="0">
      <text>
        <r>
          <rPr>
            <b/>
            <sz val="9"/>
            <color indexed="81"/>
            <rFont val="Tahoma"/>
            <family val="2"/>
          </rPr>
          <t>Abdoul A.. Diallo:</t>
        </r>
        <r>
          <rPr>
            <sz val="9"/>
            <color indexed="81"/>
            <rFont val="Tahoma"/>
            <family val="2"/>
          </rPr>
          <t xml:space="preserve">
Perdiem (12 enq+2form): 420 000
Carburant: 135Lx2 x10000  = 2 700 000/120 = 22 500
Location salle: 1000 000/5x24 = 8 333
Transport: 500 000 = 428 571
Fourniture de bureau: 25 000/5 = 5000
Total: 884 404</t>
        </r>
      </text>
    </comment>
    <comment ref="O135" authorId="0" shapeId="0">
      <text>
        <r>
          <rPr>
            <b/>
            <sz val="9"/>
            <color indexed="81"/>
            <rFont val="Tahoma"/>
            <family val="2"/>
          </rPr>
          <t>Abdoul A.. Diallo:</t>
        </r>
        <r>
          <rPr>
            <sz val="9"/>
            <color indexed="81"/>
            <rFont val="Tahoma"/>
            <family val="2"/>
          </rPr>
          <t xml:space="preserve">
Perdiem (12 enq+2form): 420 000
Carburant: 135Lx2 x10000  = 2 700 000/120 = 22 500
Location salle: 1000 000/5x24 = 8 333
Transport: 500 000 = 428 571
Fourniture de bureau: 25 000/5 = 5000
Total: 884 404</t>
        </r>
      </text>
    </comment>
    <comment ref="U135" authorId="0" shapeId="0">
      <text>
        <r>
          <rPr>
            <b/>
            <sz val="9"/>
            <color indexed="81"/>
            <rFont val="Tahoma"/>
            <family val="2"/>
          </rPr>
          <t>Abdoul A.. Diallo:</t>
        </r>
        <r>
          <rPr>
            <sz val="9"/>
            <color indexed="81"/>
            <rFont val="Tahoma"/>
            <family val="2"/>
          </rPr>
          <t xml:space="preserve">
Perdiem (12 enq+2form): 420 000
Carburant: 135Lx2 x10000  = 2 700 000/120 = 22 500
Location salle: 1000 000/5x24 = 8 333
Transport: 500 000 = 428 571
Fourniture de bureau: 25 000/5 = 5000
Total: 884 404</t>
        </r>
      </text>
    </comment>
    <comment ref="AA135" authorId="0" shapeId="0">
      <text>
        <r>
          <rPr>
            <b/>
            <sz val="9"/>
            <color indexed="81"/>
            <rFont val="Tahoma"/>
            <family val="2"/>
          </rPr>
          <t>Abdoul A.. Diallo:</t>
        </r>
        <r>
          <rPr>
            <sz val="9"/>
            <color indexed="81"/>
            <rFont val="Tahoma"/>
            <family val="2"/>
          </rPr>
          <t xml:space="preserve">
Perdiem (12 enq+2form): 420 000
Carburant: 135Lx2 x10000  = 2 700 000/120 = 22 500
Location salle: 1000 000/5x24 = 8 333
Transport: 500 000 = 428 571
Fourniture de bureau: 25 000/5 = 5000
Total: 884 404</t>
        </r>
      </text>
    </comment>
    <comment ref="AG135" authorId="0" shapeId="0">
      <text>
        <r>
          <rPr>
            <b/>
            <sz val="9"/>
            <color indexed="81"/>
            <rFont val="Tahoma"/>
            <family val="2"/>
          </rPr>
          <t>Abdoul A.. Diallo:</t>
        </r>
        <r>
          <rPr>
            <sz val="9"/>
            <color indexed="81"/>
            <rFont val="Tahoma"/>
            <family val="2"/>
          </rPr>
          <t xml:space="preserve">
Perdiem (12 enq+2form): 420 000
Carburant: 135Lx2 x10000  = 2 700 000/120 = 22 500
Location salle: 1000 000/5x24 = 8 333
Transport: 500 000 = 428 571
Fourniture de bureau: 25 000/5 = 5000
Total: 884 404</t>
        </r>
      </text>
    </comment>
    <comment ref="I136" authorId="0" shapeId="0">
      <text>
        <r>
          <rPr>
            <b/>
            <sz val="9"/>
            <color indexed="81"/>
            <rFont val="Tahoma"/>
            <family val="2"/>
          </rPr>
          <t>Abdoul A.. Diallo:</t>
        </r>
        <r>
          <rPr>
            <sz val="9"/>
            <color indexed="81"/>
            <rFont val="Tahoma"/>
            <family val="2"/>
          </rPr>
          <t xml:space="preserve">
Perdiem(15 Enq x14) =420 000
Location veh (5vehx14 DS): 650 000x70 = 45 500 000/2100 =21 667
Carburant: (135+200)Lx70vehx10 000=234 500 000/2100= 111 667
TOTAL = 553 334</t>
        </r>
      </text>
    </comment>
    <comment ref="O136" authorId="0" shapeId="0">
      <text>
        <r>
          <rPr>
            <b/>
            <sz val="9"/>
            <color indexed="81"/>
            <rFont val="Tahoma"/>
            <family val="2"/>
          </rPr>
          <t>Abdoul A.. Diallo:</t>
        </r>
        <r>
          <rPr>
            <sz val="9"/>
            <color indexed="81"/>
            <rFont val="Tahoma"/>
            <family val="2"/>
          </rPr>
          <t xml:space="preserve">
Perdiem(15 Enq x14) =420 000
Location veh (5vehx14 DS): 650 000x70 = 45 500 000/2100 =21 667
Carburant: (135+200)Lx70vehx10 000=234 500 000/2100= 111 667
TOTAL = 553 334</t>
        </r>
      </text>
    </comment>
    <comment ref="U136" authorId="0" shapeId="0">
      <text>
        <r>
          <rPr>
            <b/>
            <sz val="9"/>
            <color indexed="81"/>
            <rFont val="Tahoma"/>
            <family val="2"/>
          </rPr>
          <t>Abdoul A.. Diallo:</t>
        </r>
        <r>
          <rPr>
            <sz val="9"/>
            <color indexed="81"/>
            <rFont val="Tahoma"/>
            <family val="2"/>
          </rPr>
          <t xml:space="preserve">
Perdiem(15 Enq x14) =420 000
Location veh (5vehx14 DS): 650 000x70 = 45 500 000/2100 =21 667
Carburant: (135+200)Lx70vehx10 000=234 500 000/2100= 111 667
TOTAL = 553 334</t>
        </r>
      </text>
    </comment>
    <comment ref="AA136" authorId="0" shapeId="0">
      <text>
        <r>
          <rPr>
            <b/>
            <sz val="9"/>
            <color indexed="81"/>
            <rFont val="Tahoma"/>
            <family val="2"/>
          </rPr>
          <t>Abdoul A.. Diallo:</t>
        </r>
        <r>
          <rPr>
            <sz val="9"/>
            <color indexed="81"/>
            <rFont val="Tahoma"/>
            <family val="2"/>
          </rPr>
          <t xml:space="preserve">
Perdiem(15 Enq x14) =420 000
Location veh (5vehx14 DS): 650 000x70 = 45 500 000/2100 =21 667
Carburant: (135+200)Lx70vehx10 000=234 500 000/2100= 111 667
TOTAL = 553 334</t>
        </r>
      </text>
    </comment>
    <comment ref="AG136" authorId="0" shapeId="0">
      <text>
        <r>
          <rPr>
            <b/>
            <sz val="9"/>
            <color indexed="81"/>
            <rFont val="Tahoma"/>
            <family val="2"/>
          </rPr>
          <t>Abdoul A.. Diallo:</t>
        </r>
        <r>
          <rPr>
            <sz val="9"/>
            <color indexed="81"/>
            <rFont val="Tahoma"/>
            <family val="2"/>
          </rPr>
          <t xml:space="preserve">
Perdiem(15 Enq x14) =420 000
Location veh (5vehx14 DS): 650 000x70 = 45 500 000/2100 =21 667
Carburant: (135+200)Lx70vehx10 000=234 500 000/2100= 111 667
TOTAL = 553 334</t>
        </r>
      </text>
    </comment>
    <comment ref="I137" authorId="2" shapeId="0">
      <text>
        <r>
          <rPr>
            <b/>
            <sz val="9"/>
            <color indexed="81"/>
            <rFont val="Tahoma"/>
            <family val="2"/>
          </rPr>
          <t xml:space="preserve">
</t>
        </r>
        <r>
          <rPr>
            <sz val="9"/>
            <color indexed="81"/>
            <rFont val="Tahoma"/>
            <family val="2"/>
          </rPr>
          <t>perdiem/20 Participants /1chauffeurs et 2 formateurs:420000
support:25000/3j=8400
module:50000/3j=16400
transport: 360000/3j=120000
salle/j:1000000/23=43478
total = 608278</t>
        </r>
      </text>
    </comment>
    <comment ref="O137" authorId="2" shapeId="0">
      <text>
        <r>
          <rPr>
            <b/>
            <sz val="9"/>
            <color indexed="81"/>
            <rFont val="Tahoma"/>
            <family val="2"/>
          </rPr>
          <t xml:space="preserve">
</t>
        </r>
        <r>
          <rPr>
            <sz val="9"/>
            <color indexed="81"/>
            <rFont val="Tahoma"/>
            <family val="2"/>
          </rPr>
          <t>perdiem/20 Participants /1chauffeurs et 2 formateurs:420000
support:25000/3j=8400
module:50000/3j=16400
transport: 360000/3j=120000
salle/j:1000000/23=43478
total = 608278</t>
        </r>
      </text>
    </comment>
    <comment ref="U137" authorId="2" shapeId="0">
      <text>
        <r>
          <rPr>
            <b/>
            <sz val="9"/>
            <color indexed="81"/>
            <rFont val="Tahoma"/>
            <family val="2"/>
          </rPr>
          <t xml:space="preserve">
</t>
        </r>
        <r>
          <rPr>
            <sz val="9"/>
            <color indexed="81"/>
            <rFont val="Tahoma"/>
            <family val="2"/>
          </rPr>
          <t>perdiem/20 Participants /1chauffeurs et 2 formateurs:420000
support:25000/3j=8400
module:50000/3j=16400
transport: 360000/3j=120000
salle/j:1000000/23=43478
total = 608278</t>
        </r>
      </text>
    </comment>
    <comment ref="AA137" authorId="2" shapeId="0">
      <text>
        <r>
          <rPr>
            <b/>
            <sz val="9"/>
            <color indexed="81"/>
            <rFont val="Tahoma"/>
            <family val="2"/>
          </rPr>
          <t xml:space="preserve">
</t>
        </r>
        <r>
          <rPr>
            <sz val="9"/>
            <color indexed="81"/>
            <rFont val="Tahoma"/>
            <family val="2"/>
          </rPr>
          <t>perdiem/20 Participants /1chauffeurs et 2 formateurs:420000
support:25000/3j=8400
module:50000/3j=16400
transport: 360000/3j=120000
salle/j:1000000/23=43478
total = 608278</t>
        </r>
      </text>
    </comment>
    <comment ref="AG137" authorId="2" shapeId="0">
      <text>
        <r>
          <rPr>
            <b/>
            <sz val="9"/>
            <color indexed="81"/>
            <rFont val="Tahoma"/>
            <family val="2"/>
          </rPr>
          <t xml:space="preserve">
</t>
        </r>
        <r>
          <rPr>
            <sz val="9"/>
            <color indexed="81"/>
            <rFont val="Tahoma"/>
            <family val="2"/>
          </rPr>
          <t>perdiem/20 Participants /1chauffeurs et 2 formateurs:420000
support:25000/3j=8400
module:50000/3j=16400
transport: 360000/3j=120000
salle/j:1000000/23=43478
total = 608278</t>
        </r>
      </text>
    </comment>
    <comment ref="I138" authorId="3" shapeId="0">
      <text>
        <r>
          <rPr>
            <b/>
            <sz val="9"/>
            <color indexed="81"/>
            <rFont val="Tahoma"/>
            <family val="2"/>
          </rPr>
          <t>moise kagbadouno:</t>
        </r>
        <r>
          <rPr>
            <sz val="9"/>
            <color indexed="81"/>
            <rFont val="Tahoma"/>
            <family val="2"/>
          </rPr>
          <t xml:space="preserve">
carb veh: 360000/6=90000
perd: 420000
fiches: 50000/2=25000
total=522500</t>
        </r>
      </text>
    </comment>
    <comment ref="O138" authorId="3" shapeId="0">
      <text>
        <r>
          <rPr>
            <b/>
            <sz val="9"/>
            <color indexed="81"/>
            <rFont val="Tahoma"/>
            <family val="2"/>
          </rPr>
          <t>moise kagbadouno:</t>
        </r>
        <r>
          <rPr>
            <sz val="9"/>
            <color indexed="81"/>
            <rFont val="Tahoma"/>
            <family val="2"/>
          </rPr>
          <t xml:space="preserve">
carb veh: 360000/6=90000
perd: 420000
fiches: 50000/2=25000
total=522500</t>
        </r>
      </text>
    </comment>
    <comment ref="U138" authorId="3" shapeId="0">
      <text>
        <r>
          <rPr>
            <b/>
            <sz val="9"/>
            <color indexed="81"/>
            <rFont val="Tahoma"/>
            <family val="2"/>
          </rPr>
          <t>moise kagbadouno:</t>
        </r>
        <r>
          <rPr>
            <sz val="9"/>
            <color indexed="81"/>
            <rFont val="Tahoma"/>
            <family val="2"/>
          </rPr>
          <t xml:space="preserve">
carb veh: 360000/6=90000
perd: 420000
fiches: 50000/2=25000
total=522500</t>
        </r>
      </text>
    </comment>
    <comment ref="AA138" authorId="3" shapeId="0">
      <text>
        <r>
          <rPr>
            <b/>
            <sz val="9"/>
            <color indexed="81"/>
            <rFont val="Tahoma"/>
            <family val="2"/>
          </rPr>
          <t>moise kagbadouno:</t>
        </r>
        <r>
          <rPr>
            <sz val="9"/>
            <color indexed="81"/>
            <rFont val="Tahoma"/>
            <family val="2"/>
          </rPr>
          <t xml:space="preserve">
carb veh: 360000/6=90000
perd: 420000
fiches: 50000/2=25000
total=522500</t>
        </r>
      </text>
    </comment>
    <comment ref="AG138" authorId="3" shapeId="0">
      <text>
        <r>
          <rPr>
            <b/>
            <sz val="9"/>
            <color indexed="81"/>
            <rFont val="Tahoma"/>
            <family val="2"/>
          </rPr>
          <t>moise kagbadouno:</t>
        </r>
        <r>
          <rPr>
            <sz val="9"/>
            <color indexed="81"/>
            <rFont val="Tahoma"/>
            <family val="2"/>
          </rPr>
          <t xml:space="preserve">
carb veh: 360000/6=90000
perd: 420000
fiches: 50000/2=25000
total=522500</t>
        </r>
      </text>
    </comment>
    <comment ref="I139" authorId="2" shapeId="0">
      <text>
        <r>
          <rPr>
            <b/>
            <sz val="9"/>
            <color indexed="81"/>
            <rFont val="Tahoma"/>
            <family val="2"/>
          </rPr>
          <t xml:space="preserve">
</t>
        </r>
        <r>
          <rPr>
            <sz val="9"/>
            <color indexed="81"/>
            <rFont val="Tahoma"/>
            <family val="2"/>
          </rPr>
          <t>perdiem/20 Participants /1chauffeurs et 2 formateurs:420000
support:25000/5j=5000
module:50000/5j=10000
transport: 200000/5j=40000
salle/j:1 000 000/23particp=43478
total = 518478</t>
        </r>
      </text>
    </comment>
    <comment ref="O139" authorId="2" shapeId="0">
      <text>
        <r>
          <rPr>
            <b/>
            <sz val="9"/>
            <color indexed="81"/>
            <rFont val="Tahoma"/>
            <family val="2"/>
          </rPr>
          <t xml:space="preserve">
</t>
        </r>
        <r>
          <rPr>
            <sz val="9"/>
            <color indexed="81"/>
            <rFont val="Tahoma"/>
            <family val="2"/>
          </rPr>
          <t>perdiem/20 Participants /1chauffeurs et 2 formateurs:420000
support:25000/5j=5000
module:50000/5j=10000
transport: 200000/5j=40000
salle/j:1 000 000/23particp=43478
total = 518478</t>
        </r>
      </text>
    </comment>
    <comment ref="U139" authorId="2" shapeId="0">
      <text>
        <r>
          <rPr>
            <b/>
            <sz val="9"/>
            <color indexed="81"/>
            <rFont val="Tahoma"/>
            <family val="2"/>
          </rPr>
          <t xml:space="preserve">
</t>
        </r>
        <r>
          <rPr>
            <sz val="9"/>
            <color indexed="81"/>
            <rFont val="Tahoma"/>
            <family val="2"/>
          </rPr>
          <t>perdiem/20 Participants /1chauffeurs et 2 formateurs:420000
support:25000/5j=5000
module:50000/5j=10000
transport: 200000/5j=40000
salle/j:1 000 000/23particp=43478
total = 518478</t>
        </r>
      </text>
    </comment>
    <comment ref="AA139" authorId="2" shapeId="0">
      <text>
        <r>
          <rPr>
            <b/>
            <sz val="9"/>
            <color indexed="81"/>
            <rFont val="Tahoma"/>
            <family val="2"/>
          </rPr>
          <t xml:space="preserve">
</t>
        </r>
        <r>
          <rPr>
            <sz val="9"/>
            <color indexed="81"/>
            <rFont val="Tahoma"/>
            <family val="2"/>
          </rPr>
          <t>perdiem/20 Participants /1chauffeurs et 2 formateurs:420000
support:25000/5j=5000
module:50000/5j=10000
transport: 200000/5j=40000
salle/j:1 000 000/23particp=43478
total = 518478</t>
        </r>
      </text>
    </comment>
    <comment ref="AG139" authorId="2" shapeId="0">
      <text>
        <r>
          <rPr>
            <b/>
            <sz val="9"/>
            <color indexed="81"/>
            <rFont val="Tahoma"/>
            <family val="2"/>
          </rPr>
          <t xml:space="preserve">
</t>
        </r>
        <r>
          <rPr>
            <sz val="9"/>
            <color indexed="81"/>
            <rFont val="Tahoma"/>
            <family val="2"/>
          </rPr>
          <t>perdiem/20 Participants /1chauffeurs et 2 formateurs:420000
support:25000/5j=5000
module:50000/5j=10000
transport: 200000/5j=40000
salle/j:1 000 000/23particp=43478
total = 518478</t>
        </r>
      </text>
    </comment>
    <comment ref="I140" authorId="3" shapeId="0">
      <text>
        <r>
          <rPr>
            <b/>
            <sz val="9"/>
            <color indexed="81"/>
            <rFont val="Tahoma"/>
            <family val="2"/>
          </rPr>
          <t>moise kagbadouno:</t>
        </r>
        <r>
          <rPr>
            <sz val="9"/>
            <color indexed="81"/>
            <rFont val="Tahoma"/>
            <family val="2"/>
          </rPr>
          <t xml:space="preserve">
carb veh: 200000/15=13400
carb barq: 600000/15=40000
perd: 420000
fiches: 1000000/900=1111
loc barq: 1000000/15=66700
total=541211</t>
        </r>
      </text>
    </comment>
    <comment ref="O140" authorId="3" shapeId="0">
      <text>
        <r>
          <rPr>
            <b/>
            <sz val="9"/>
            <color indexed="81"/>
            <rFont val="Tahoma"/>
            <family val="2"/>
          </rPr>
          <t>moise kagbadouno:</t>
        </r>
        <r>
          <rPr>
            <sz val="9"/>
            <color indexed="81"/>
            <rFont val="Tahoma"/>
            <family val="2"/>
          </rPr>
          <t xml:space="preserve">
carb veh: 200000/15=13400
carb barq: 600000/15=40000
perd: 420000
fiches: 1000000/900=1111
loc barq: 1000000/15=66700
total=541211</t>
        </r>
      </text>
    </comment>
    <comment ref="U140" authorId="3" shapeId="0">
      <text>
        <r>
          <rPr>
            <b/>
            <sz val="9"/>
            <color indexed="81"/>
            <rFont val="Tahoma"/>
            <family val="2"/>
          </rPr>
          <t>moise kagbadouno:</t>
        </r>
        <r>
          <rPr>
            <sz val="9"/>
            <color indexed="81"/>
            <rFont val="Tahoma"/>
            <family val="2"/>
          </rPr>
          <t xml:space="preserve">
carb veh: 200000/15=13400
carb barq: 600000/15=40000
perd: 420000
fiches: 1000000/900=1111
loc barq: 1000000/15=66700
total=541211</t>
        </r>
      </text>
    </comment>
    <comment ref="AA140" authorId="3" shapeId="0">
      <text>
        <r>
          <rPr>
            <b/>
            <sz val="9"/>
            <color indexed="81"/>
            <rFont val="Tahoma"/>
            <family val="2"/>
          </rPr>
          <t>moise kagbadouno:</t>
        </r>
        <r>
          <rPr>
            <sz val="9"/>
            <color indexed="81"/>
            <rFont val="Tahoma"/>
            <family val="2"/>
          </rPr>
          <t xml:space="preserve">
carb veh: 200000/15=13400
carb barq: 600000/15=40000
perd: 420000
fiches: 1000000/900=1111
loc barq: 1000000/15=66700
total=541211</t>
        </r>
      </text>
    </comment>
    <comment ref="AG140" authorId="3" shapeId="0">
      <text>
        <r>
          <rPr>
            <b/>
            <sz val="9"/>
            <color indexed="81"/>
            <rFont val="Tahoma"/>
            <family val="2"/>
          </rPr>
          <t>moise kagbadouno:</t>
        </r>
        <r>
          <rPr>
            <sz val="9"/>
            <color indexed="81"/>
            <rFont val="Tahoma"/>
            <family val="2"/>
          </rPr>
          <t xml:space="preserve">
carb veh: 200000/15=13400
carb barq: 600000/15=40000
perd: 420000
fiches: 1000000/900=1111
loc barq: 1000000/15=66700
total=541211</t>
        </r>
      </text>
    </comment>
    <comment ref="I141" authorId="2" shapeId="0">
      <text>
        <r>
          <rPr>
            <sz val="9"/>
            <color indexed="81"/>
            <rFont val="Tahoma"/>
            <family val="2"/>
          </rPr>
          <t>perdiem/43 Participants /1chauffeurs et 2 formateurs:420000
support:25000/3j=8400
module:50000/3j=16400
transport: 200000/3j=66700
salle/j:1000000/23=2083
total = 513583</t>
        </r>
      </text>
    </comment>
    <comment ref="O141" authorId="2" shapeId="0">
      <text>
        <r>
          <rPr>
            <sz val="9"/>
            <color indexed="81"/>
            <rFont val="Tahoma"/>
            <family val="2"/>
          </rPr>
          <t>perdiem/43 Participants /1chauffeurs et 2 formateurs:420000
support:25000/3j=8400
module:50000/3j=16400
transport: 200000/3j=66700
salle/j:1000000/23=2083
total = 513583</t>
        </r>
      </text>
    </comment>
    <comment ref="U141" authorId="2" shapeId="0">
      <text>
        <r>
          <rPr>
            <sz val="9"/>
            <color indexed="81"/>
            <rFont val="Tahoma"/>
            <family val="2"/>
          </rPr>
          <t>perdiem/43 Participants /1chauffeurs et 2 formateurs:420000
support:25000/3j=8400
module:50000/3j=16400
transport: 200000/3j=66700
salle/j:1000000/23=2083
total = 513583</t>
        </r>
      </text>
    </comment>
    <comment ref="AA141" authorId="2" shapeId="0">
      <text>
        <r>
          <rPr>
            <sz val="9"/>
            <color indexed="81"/>
            <rFont val="Tahoma"/>
            <family val="2"/>
          </rPr>
          <t>perdiem/43 Participants /1chauffeurs et 2 formateurs:420000
support:25000/3j=8400
module:50000/3j=16400
transport: 200000/3j=66700
salle/j:1000000/23=2083
total = 513583</t>
        </r>
      </text>
    </comment>
    <comment ref="AG141" authorId="2" shapeId="0">
      <text>
        <r>
          <rPr>
            <sz val="9"/>
            <color indexed="81"/>
            <rFont val="Tahoma"/>
            <family val="2"/>
          </rPr>
          <t>perdiem/43 Participants /1chauffeurs et 2 formateurs:420000
support:25000/3j=8400
module:50000/3j=16400
transport: 200000/3j=66700
salle/j:1000000/23=2083
total = 513583</t>
        </r>
      </text>
    </comment>
    <comment ref="I142" authorId="3" shapeId="0">
      <text>
        <r>
          <rPr>
            <b/>
            <sz val="9"/>
            <color indexed="81"/>
            <rFont val="Tahoma"/>
            <family val="2"/>
          </rPr>
          <t>moise kagbadouno:</t>
        </r>
        <r>
          <rPr>
            <sz val="9"/>
            <color indexed="81"/>
            <rFont val="Tahoma"/>
            <family val="2"/>
          </rPr>
          <t xml:space="preserve">
carb veh: 360000/6=60000
carb barq: 300000/6=50000
perd: 420000
fiches: 500000/90=5560
loc barq: 500000/6=84000
total=619560</t>
        </r>
      </text>
    </comment>
    <comment ref="O142" authorId="3" shapeId="0">
      <text>
        <r>
          <rPr>
            <b/>
            <sz val="9"/>
            <color indexed="81"/>
            <rFont val="Tahoma"/>
            <family val="2"/>
          </rPr>
          <t>moise kagbadouno:</t>
        </r>
        <r>
          <rPr>
            <sz val="9"/>
            <color indexed="81"/>
            <rFont val="Tahoma"/>
            <family val="2"/>
          </rPr>
          <t xml:space="preserve">
carb veh: 360000/6=60000
carb barq: 300000/6=50000
perd: 420000
fiches: 500000/90=5560
loc barq: 500000/6=84000
total=619560</t>
        </r>
      </text>
    </comment>
    <comment ref="U142" authorId="3" shapeId="0">
      <text>
        <r>
          <rPr>
            <b/>
            <sz val="9"/>
            <color indexed="81"/>
            <rFont val="Tahoma"/>
            <family val="2"/>
          </rPr>
          <t>moise kagbadouno:</t>
        </r>
        <r>
          <rPr>
            <sz val="9"/>
            <color indexed="81"/>
            <rFont val="Tahoma"/>
            <family val="2"/>
          </rPr>
          <t xml:space="preserve">
carb veh: 360000/6=60000
carb barq: 300000/6=50000
perd: 420000
fiches: 500000/90=5560
loc barq: 500000/6=84000
total=619560</t>
        </r>
      </text>
    </comment>
    <comment ref="AA142" authorId="3" shapeId="0">
      <text>
        <r>
          <rPr>
            <b/>
            <sz val="9"/>
            <color indexed="81"/>
            <rFont val="Tahoma"/>
            <family val="2"/>
          </rPr>
          <t>moise kagbadouno:</t>
        </r>
        <r>
          <rPr>
            <sz val="9"/>
            <color indexed="81"/>
            <rFont val="Tahoma"/>
            <family val="2"/>
          </rPr>
          <t xml:space="preserve">
carb veh: 360000/6=60000
carb barq: 300000/6=50000
perd: 420000
fiches: 500000/90=5560
loc barq: 500000/6=84000
total=619560</t>
        </r>
      </text>
    </comment>
    <comment ref="AG142" authorId="3" shapeId="0">
      <text>
        <r>
          <rPr>
            <b/>
            <sz val="9"/>
            <color indexed="81"/>
            <rFont val="Tahoma"/>
            <family val="2"/>
          </rPr>
          <t>moise kagbadouno:</t>
        </r>
        <r>
          <rPr>
            <sz val="9"/>
            <color indexed="81"/>
            <rFont val="Tahoma"/>
            <family val="2"/>
          </rPr>
          <t xml:space="preserve">
carb veh: 360000/6=60000
carb barq: 300000/6=50000
perd: 420000
fiches: 500000/90=5560
loc barq: 500000/6=84000
total=619560</t>
        </r>
      </text>
    </comment>
    <comment ref="I143" authorId="0" shapeId="0">
      <text>
        <r>
          <rPr>
            <b/>
            <sz val="9"/>
            <color indexed="81"/>
            <rFont val="Tahoma"/>
            <family val="2"/>
          </rPr>
          <t>Abdoul A.. Diallo:</t>
        </r>
        <r>
          <rPr>
            <sz val="9"/>
            <color indexed="81"/>
            <rFont val="Tahoma"/>
            <family val="2"/>
          </rPr>
          <t xml:space="preserve">
Perdiem (8 part+2form+3 chauf): 420 000
Carburant: 250Lx3x10000 = 7 500 000/13x3 = 192 308
Location veh (3veh): 650 000x3= 1 950 000/13 = 150 000 
Location salle: 1000 000/13 = 76 923
TOTAL = 839 231</t>
        </r>
      </text>
    </comment>
    <comment ref="I144" authorId="0" shapeId="0">
      <text>
        <r>
          <rPr>
            <b/>
            <sz val="9"/>
            <color indexed="81"/>
            <rFont val="Tahoma"/>
            <family val="2"/>
          </rPr>
          <t>Abdoul A.. Diallo:</t>
        </r>
        <r>
          <rPr>
            <sz val="9"/>
            <color indexed="81"/>
            <rFont val="Tahoma"/>
            <family val="2"/>
          </rPr>
          <t xml:space="preserve">
Perdiem (3Enq+1chauf)X2 équip + 2 sup+1 Chauf: 420 000
Carburant( 2 équipes énq+ 1 équip sup): 567Lx2x10000 = 11 340 000/11x15 = 68 727
Location veh (3veh): 650 000x3= 1 950 000/11 = 177 273
TOTAL = 666 000</t>
        </r>
      </text>
    </comment>
    <comment ref="I145" authorId="0" shapeId="0">
      <text>
        <r>
          <rPr>
            <b/>
            <sz val="9"/>
            <color indexed="81"/>
            <rFont val="Tahoma"/>
            <family val="2"/>
          </rPr>
          <t>Abdoul A.. Diallo:</t>
        </r>
        <r>
          <rPr>
            <sz val="9"/>
            <color indexed="81"/>
            <rFont val="Tahoma"/>
            <family val="2"/>
          </rPr>
          <t xml:space="preserve">
Activite de 2019</t>
        </r>
      </text>
    </comment>
    <comment ref="O145" authorId="0" shapeId="0">
      <text>
        <r>
          <rPr>
            <b/>
            <sz val="9"/>
            <color indexed="81"/>
            <rFont val="Tahoma"/>
            <family val="2"/>
          </rPr>
          <t>Abdoul A.. Diallo:</t>
        </r>
        <r>
          <rPr>
            <sz val="9"/>
            <color indexed="81"/>
            <rFont val="Tahoma"/>
            <family val="2"/>
          </rPr>
          <t xml:space="preserve">
Perdiem (3Enq+1chauf)x3 équip + 2 sup+1 Chauf: 420 000
Carburant( 3 équipes énq+ 1 équip sup): 723Lx2x10000 = 14 460 000/225 = 64 267
Location veh (4veh): 650 000x4= 2 600 000/15 = 173 333
TOTAL = 657 600</t>
        </r>
      </text>
    </comment>
    <comment ref="I146" authorId="0" shapeId="0">
      <text>
        <r>
          <rPr>
            <b/>
            <sz val="9"/>
            <color indexed="81"/>
            <rFont val="Tahoma"/>
            <family val="2"/>
          </rPr>
          <t>Abdoul A.. Diallo:</t>
        </r>
        <r>
          <rPr>
            <sz val="9"/>
            <color indexed="81"/>
            <rFont val="Tahoma"/>
            <family val="2"/>
          </rPr>
          <t xml:space="preserve">
ACTIVITE DE 2020</t>
        </r>
      </text>
    </comment>
    <comment ref="U146" authorId="0" shapeId="0">
      <text>
        <r>
          <rPr>
            <b/>
            <sz val="9"/>
            <color indexed="81"/>
            <rFont val="Tahoma"/>
            <family val="2"/>
          </rPr>
          <t>Abdoul A.. Diallo:</t>
        </r>
        <r>
          <rPr>
            <sz val="9"/>
            <color indexed="81"/>
            <rFont val="Tahoma"/>
            <family val="2"/>
          </rPr>
          <t xml:space="preserve">
Perdiem (3Enq+1chauf)x5 équip + (2 sup+1 Chauf)x2 : 420 000
Carburant( 5équipes énq+ 2 équip sup): 1690Lx2x10000 = 33 800 000/26x15j = 86 667
Location veh (7veh): 650 000x7= 4 550 000/26 = 175 000
TOTAL = 681 667</t>
        </r>
      </text>
    </comment>
    <comment ref="I147" authorId="0" shapeId="0">
      <text>
        <r>
          <rPr>
            <b/>
            <sz val="9"/>
            <color indexed="81"/>
            <rFont val="Tahoma"/>
            <family val="2"/>
          </rPr>
          <t>Abdoul A.. Diallo:</t>
        </r>
        <r>
          <rPr>
            <sz val="9"/>
            <color indexed="81"/>
            <rFont val="Tahoma"/>
            <family val="2"/>
          </rPr>
          <t xml:space="preserve">
ACTIVITE DE 2019</t>
        </r>
      </text>
    </comment>
    <comment ref="O147" authorId="0" shapeId="0">
      <text>
        <r>
          <rPr>
            <b/>
            <sz val="9"/>
            <color indexed="81"/>
            <rFont val="Tahoma"/>
            <family val="2"/>
          </rPr>
          <t>Abdoul A.. Diallo:</t>
        </r>
        <r>
          <rPr>
            <sz val="9"/>
            <color indexed="81"/>
            <rFont val="Tahoma"/>
            <family val="2"/>
          </rPr>
          <t xml:space="preserve">
Perdiem (3Enq+1chauf)X2 équip + 2 sup+1 Chauf: 420 000
Carburant( 2 équipes énq+ 1 équip sup): 567Lx2x10000 = 11 340 000/11x15 = 68 727
Location veh (3veh): 650 000x3= 1 950 000/11 = 177 273
TOTAL = 666 000</t>
        </r>
      </text>
    </comment>
    <comment ref="I148" authorId="0" shapeId="0">
      <text>
        <r>
          <rPr>
            <b/>
            <sz val="9"/>
            <color indexed="81"/>
            <rFont val="Tahoma"/>
            <family val="2"/>
          </rPr>
          <t>Abdoul A.. Diallo:</t>
        </r>
        <r>
          <rPr>
            <sz val="9"/>
            <color indexed="81"/>
            <rFont val="Tahoma"/>
            <family val="2"/>
          </rPr>
          <t xml:space="preserve">
ACTIVITE 2020</t>
        </r>
      </text>
    </comment>
    <comment ref="U148" authorId="0" shapeId="0">
      <text>
        <r>
          <rPr>
            <b/>
            <sz val="9"/>
            <color indexed="81"/>
            <rFont val="Tahoma"/>
            <family val="2"/>
          </rPr>
          <t>Abdoul A.. Diallo:</t>
        </r>
        <r>
          <rPr>
            <sz val="9"/>
            <color indexed="81"/>
            <rFont val="Tahoma"/>
            <family val="2"/>
          </rPr>
          <t xml:space="preserve">
Perdiem (3Enq+1chauf)x4 équip + (2 sup+1 Chauf)x2: 420 000
Carburant( 3 équipes énq+ 1 équip sup): 1511Lx2x10000 = 30 220 000/22x15 = 91 576
Location veh (6veh): 650 000x6= 3 900 000/22 = 177 273
TOTAL = 688 848</t>
        </r>
      </text>
    </comment>
    <comment ref="I149" authorId="0" shapeId="0">
      <text>
        <r>
          <rPr>
            <b/>
            <sz val="9"/>
            <color indexed="81"/>
            <rFont val="Tahoma"/>
            <family val="2"/>
          </rPr>
          <t>Abdoul A.. Diallo:</t>
        </r>
        <r>
          <rPr>
            <sz val="9"/>
            <color indexed="81"/>
            <rFont val="Tahoma"/>
            <family val="2"/>
          </rPr>
          <t xml:space="preserve">
ACTIVITE 2021</t>
        </r>
      </text>
    </comment>
    <comment ref="AA149" authorId="0" shapeId="0">
      <text>
        <r>
          <rPr>
            <b/>
            <sz val="9"/>
            <color indexed="81"/>
            <rFont val="Tahoma"/>
            <family val="2"/>
          </rPr>
          <t>Abdoul A.. Diallo:</t>
        </r>
        <r>
          <rPr>
            <sz val="9"/>
            <color indexed="81"/>
            <rFont val="Tahoma"/>
            <family val="2"/>
          </rPr>
          <t xml:space="preserve">
Perdiem (3Enq+1chauf)X3 équip + (2 sup+1 Chauf)x2: 420 000
Carburant( 2 équipes énq+ 1 équip sup): 1195Lx2x10000 = 23 900 000/18x15 = 88 519
Location veh (5veh): 650 000x5= 3 250 000/18 = 180 556
TOTAL = 689 075</t>
        </r>
      </text>
    </comment>
    <comment ref="I150" authorId="2" shapeId="0">
      <text>
        <r>
          <rPr>
            <sz val="9"/>
            <color indexed="81"/>
            <rFont val="Tahoma"/>
            <family val="2"/>
          </rPr>
          <t>perdiem/23 Participants /1chauffeurs et 2 formateurs:420000
support:25000/5j=5000
module:50000/5j=10000
transport: 200000/5j=40000
salle/j:1000000/23=43480
total = 518480</t>
        </r>
      </text>
    </comment>
    <comment ref="O150" authorId="2" shapeId="0">
      <text>
        <r>
          <rPr>
            <sz val="9"/>
            <color indexed="81"/>
            <rFont val="Tahoma"/>
            <family val="2"/>
          </rPr>
          <t>perdiem/23 Participants /1chauffeurs et 2 formateurs:420000
support:25000/5j=5000
module:50000/5j=10000
transport: 200000/5j=40000
salle/j:1000000/23=43480
total = 518480</t>
        </r>
      </text>
    </comment>
    <comment ref="U150" authorId="2" shapeId="0">
      <text>
        <r>
          <rPr>
            <sz val="9"/>
            <color indexed="81"/>
            <rFont val="Tahoma"/>
            <family val="2"/>
          </rPr>
          <t>perdiem/23 Participants /1chauffeurs et 2 formateurs:420000
support:25000/5j=5000
module:50000/5j=10000
transport: 200000/5j=40000
salle/j:1000000/23=43480
total = 518480</t>
        </r>
      </text>
    </comment>
    <comment ref="AA150" authorId="2" shapeId="0">
      <text>
        <r>
          <rPr>
            <sz val="9"/>
            <color indexed="81"/>
            <rFont val="Tahoma"/>
            <family val="2"/>
          </rPr>
          <t>perdiem/23 Participants /1chauffeurs et 2 formateurs:420000
support:25000/5j=5000
module:50000/5j=10000
transport: 200000/5j=40000
salle/j:1000000/23=43480
total = 518480</t>
        </r>
      </text>
    </comment>
    <comment ref="AG150" authorId="2" shapeId="0">
      <text>
        <r>
          <rPr>
            <sz val="9"/>
            <color indexed="81"/>
            <rFont val="Tahoma"/>
            <family val="2"/>
          </rPr>
          <t>perdiem/23 Participants /1chauffeurs et 2 formateurs:420000
support:25000/5j=5000
module:50000/5j=10000
transport: 200000/5j=40000
salle/j:1000000/23=43480
total = 518480</t>
        </r>
      </text>
    </comment>
    <comment ref="I151" authorId="0" shapeId="0">
      <text>
        <r>
          <rPr>
            <b/>
            <sz val="9"/>
            <color indexed="81"/>
            <rFont val="Tahoma"/>
            <family val="2"/>
          </rPr>
          <t>Abdoul A.. Diallo:</t>
        </r>
        <r>
          <rPr>
            <sz val="9"/>
            <color indexed="81"/>
            <rFont val="Tahoma"/>
            <family val="2"/>
          </rPr>
          <t xml:space="preserve">
Perdiem: 23 Participants: 420000 Formateurs:  2 Chauffeurs: 2
Transport par jour: 500000/3= 166667 Carburant: 350 Lx2 véhX10000= 7000000/81=86420 
Fourniture de bureau: 25 000/Pers/3=8333
Location salle :1 000 000/ 27=37037
TOTAL: 718457</t>
        </r>
      </text>
    </comment>
    <comment ref="O151" authorId="0" shapeId="0">
      <text>
        <r>
          <rPr>
            <b/>
            <sz val="9"/>
            <color indexed="81"/>
            <rFont val="Tahoma"/>
            <family val="2"/>
          </rPr>
          <t>Abdoul A.. Diallo:</t>
        </r>
        <r>
          <rPr>
            <sz val="9"/>
            <color indexed="81"/>
            <rFont val="Tahoma"/>
            <family val="2"/>
          </rPr>
          <t xml:space="preserve">
Perdiem: 23 Participants: 420000 Formateurs:  2 Chauffeurs: 2
Transport par jour: 500000/3= 166667 Carburant: 350 Lx2 véhX10000= 7000000/81=86420 
Fourniture de bureau: 25 000/Pers/3=8333
Location salle :1 000 000/ 27=37037
TOTAL: 718457</t>
        </r>
      </text>
    </comment>
    <comment ref="U151" authorId="0" shapeId="0">
      <text>
        <r>
          <rPr>
            <b/>
            <sz val="9"/>
            <color indexed="81"/>
            <rFont val="Tahoma"/>
            <family val="2"/>
          </rPr>
          <t>Abdoul A.. Diallo:</t>
        </r>
        <r>
          <rPr>
            <sz val="9"/>
            <color indexed="81"/>
            <rFont val="Tahoma"/>
            <family val="2"/>
          </rPr>
          <t xml:space="preserve">
Perdiem: 23 Participants: 420000 Formateurs:  2 Chauffeurs: 2
Transport par jour: 500000/3= 166667 Carburant: 350 Lx2 véhX10000= 7000000/81=86420 
Fourniture de bureau: 25 000/Pers/3=8333
Location salle :1 000 000/ 27=37037
TOTAL: 718457</t>
        </r>
      </text>
    </comment>
    <comment ref="AA151" authorId="0" shapeId="0">
      <text>
        <r>
          <rPr>
            <b/>
            <sz val="9"/>
            <color indexed="81"/>
            <rFont val="Tahoma"/>
            <family val="2"/>
          </rPr>
          <t>Abdoul A.. Diallo:</t>
        </r>
        <r>
          <rPr>
            <sz val="9"/>
            <color indexed="81"/>
            <rFont val="Tahoma"/>
            <family val="2"/>
          </rPr>
          <t xml:space="preserve">
Perdiem: 23 Participants: 420000 Formateurs:  2 Chauffeurs: 2
Transport par jour: 500000/3= 166667 Carburant: 350 Lx2 véhX10000= 7000000/81=86420 
Fourniture de bureau: 25 000/Pers/3=8333
Location salle :1 000 000/ 27=37037
TOTAL: 718457</t>
        </r>
      </text>
    </comment>
    <comment ref="AG151" authorId="0" shapeId="0">
      <text>
        <r>
          <rPr>
            <b/>
            <sz val="9"/>
            <color indexed="81"/>
            <rFont val="Tahoma"/>
            <family val="2"/>
          </rPr>
          <t>Abdoul A.. Diallo:</t>
        </r>
        <r>
          <rPr>
            <sz val="9"/>
            <color indexed="81"/>
            <rFont val="Tahoma"/>
            <family val="2"/>
          </rPr>
          <t xml:space="preserve">
Perdiem: 23 Participants: 420000 Formateurs:  2 Chauffeurs: 2
Transport par jour: 500000/3= 166667 Carburant: 350 Lx2 véhX10000= 7000000/81=86420 
Fourniture de bureau: 25 000/Pers/3=8333
Location salle :1 000 000/ 27=37037
TOTAL: 718457</t>
        </r>
      </text>
    </comment>
    <comment ref="I152" authorId="3" shapeId="0">
      <text>
        <r>
          <rPr>
            <b/>
            <sz val="9"/>
            <color indexed="81"/>
            <rFont val="Tahoma"/>
            <family val="2"/>
          </rPr>
          <t>moise kagbadouno:</t>
        </r>
        <r>
          <rPr>
            <sz val="9"/>
            <color indexed="81"/>
            <rFont val="Tahoma"/>
            <family val="2"/>
          </rPr>
          <t xml:space="preserve">
carb veh: 200000/14=14286
perd: 420000
fiches: 400000/2=200000
total=634286</t>
        </r>
      </text>
    </comment>
    <comment ref="O152" authorId="3" shapeId="0">
      <text>
        <r>
          <rPr>
            <b/>
            <sz val="9"/>
            <color indexed="81"/>
            <rFont val="Tahoma"/>
            <family val="2"/>
          </rPr>
          <t>moise kagbadouno:</t>
        </r>
        <r>
          <rPr>
            <sz val="9"/>
            <color indexed="81"/>
            <rFont val="Tahoma"/>
            <family val="2"/>
          </rPr>
          <t xml:space="preserve">
carb veh: 200000/14=14286
perd: 420000
fiches: 400000/2=200000
total=634286</t>
        </r>
      </text>
    </comment>
    <comment ref="U152" authorId="3" shapeId="0">
      <text>
        <r>
          <rPr>
            <b/>
            <sz val="9"/>
            <color indexed="81"/>
            <rFont val="Tahoma"/>
            <family val="2"/>
          </rPr>
          <t>moise kagbadouno:</t>
        </r>
        <r>
          <rPr>
            <sz val="9"/>
            <color indexed="81"/>
            <rFont val="Tahoma"/>
            <family val="2"/>
          </rPr>
          <t xml:space="preserve">
carb veh: 200000/14=14286
perd: 420000
fiches: 400000/2=200000
total=634286</t>
        </r>
      </text>
    </comment>
    <comment ref="AA152" authorId="3" shapeId="0">
      <text>
        <r>
          <rPr>
            <b/>
            <sz val="9"/>
            <color indexed="81"/>
            <rFont val="Tahoma"/>
            <family val="2"/>
          </rPr>
          <t>moise kagbadouno:</t>
        </r>
        <r>
          <rPr>
            <sz val="9"/>
            <color indexed="81"/>
            <rFont val="Tahoma"/>
            <family val="2"/>
          </rPr>
          <t xml:space="preserve">
carb veh: 200000/14=14286
perd: 420000
fiches: 400000/2=200000
total=634286</t>
        </r>
      </text>
    </comment>
    <comment ref="AG152" authorId="3" shapeId="0">
      <text>
        <r>
          <rPr>
            <b/>
            <sz val="9"/>
            <color indexed="81"/>
            <rFont val="Tahoma"/>
            <family val="2"/>
          </rPr>
          <t>moise kagbadouno:</t>
        </r>
        <r>
          <rPr>
            <sz val="9"/>
            <color indexed="81"/>
            <rFont val="Tahoma"/>
            <family val="2"/>
          </rPr>
          <t xml:space="preserve">
carb veh: 200000/14=14286
perd: 420000
fiches: 400000/2=200000
total=634286</t>
        </r>
      </text>
    </comment>
    <comment ref="I153" authorId="0" shapeId="0">
      <text>
        <r>
          <rPr>
            <b/>
            <sz val="9"/>
            <color indexed="81"/>
            <rFont val="Tahoma"/>
            <family val="2"/>
          </rPr>
          <t>Abdoul A.. Diallo:</t>
        </r>
        <r>
          <rPr>
            <sz val="9"/>
            <color indexed="81"/>
            <rFont val="Tahoma"/>
            <family val="2"/>
          </rPr>
          <t xml:space="preserve">
Perdiem(3persx14miss) = 420 000
Location veh:650 000x1x14= 9 100 000/42 = 216 667
Carburant: (135Lx2 +38x20l)x10000 = 10 300 000/42x45 = 54 50
TOTAL = 642 117</t>
        </r>
      </text>
    </comment>
    <comment ref="O153" authorId="0" shapeId="0">
      <text>
        <r>
          <rPr>
            <b/>
            <sz val="9"/>
            <color indexed="81"/>
            <rFont val="Tahoma"/>
            <family val="2"/>
          </rPr>
          <t>Abdoul A.. Diallo:</t>
        </r>
        <r>
          <rPr>
            <sz val="9"/>
            <color indexed="81"/>
            <rFont val="Tahoma"/>
            <family val="2"/>
          </rPr>
          <t xml:space="preserve">
Perdiem(3persx14miss) = 420 000
Location veh:650 000x1x14= 9 100 000/42 = 216 667
Carburant: (135Lx2 +38x20l)x10000 = 10 300 000/42x45 = 54 50
TOTAL = 642 117</t>
        </r>
      </text>
    </comment>
    <comment ref="U153" authorId="0" shapeId="0">
      <text>
        <r>
          <rPr>
            <b/>
            <sz val="9"/>
            <color indexed="81"/>
            <rFont val="Tahoma"/>
            <family val="2"/>
          </rPr>
          <t>Abdoul A.. Diallo:</t>
        </r>
        <r>
          <rPr>
            <sz val="9"/>
            <color indexed="81"/>
            <rFont val="Tahoma"/>
            <family val="2"/>
          </rPr>
          <t xml:space="preserve">
Perdiem(3persx14miss) = 420 000
Location veh:650 000x1x14= 9 100 000/42 = 216 667
Carburant: (135Lx2 +38x20l)x10000 = 10 300 000/42x45 = 54 50
TOTAL = 642 117</t>
        </r>
      </text>
    </comment>
    <comment ref="AA153" authorId="0" shapeId="0">
      <text>
        <r>
          <rPr>
            <b/>
            <sz val="9"/>
            <color indexed="81"/>
            <rFont val="Tahoma"/>
            <family val="2"/>
          </rPr>
          <t>Abdoul A.. Diallo:</t>
        </r>
        <r>
          <rPr>
            <sz val="9"/>
            <color indexed="81"/>
            <rFont val="Tahoma"/>
            <family val="2"/>
          </rPr>
          <t xml:space="preserve">
Perdiem(3persx14miss) = 420 000
Location veh:650 000x1x14= 9 100 000/42 = 216 667
Carburant: (135Lx2 +38x20l)x10000 = 10 300 000/42x45 = 54 50
TOTAL = 642 117</t>
        </r>
      </text>
    </comment>
    <comment ref="AG153" authorId="0" shapeId="0">
      <text>
        <r>
          <rPr>
            <b/>
            <sz val="9"/>
            <color indexed="81"/>
            <rFont val="Tahoma"/>
            <family val="2"/>
          </rPr>
          <t>Abdoul A.. Diallo:</t>
        </r>
        <r>
          <rPr>
            <sz val="9"/>
            <color indexed="81"/>
            <rFont val="Tahoma"/>
            <family val="2"/>
          </rPr>
          <t xml:space="preserve">
Perdiem(3persx14miss) = 420 000
Location veh:650 000x1x14= 9 100 000/42 = 216 667
Carburant: (135Lx2 +38x20l)x10000 = 10 300 000/42x45 = 54 50
TOTAL = 642 117</t>
        </r>
      </text>
    </comment>
    <comment ref="I154"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O154"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U154"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AA154"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AG154"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I155"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O155"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U155"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AA155"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AG155" authorId="3" shapeId="0">
      <text>
        <r>
          <rPr>
            <b/>
            <sz val="9"/>
            <color indexed="81"/>
            <rFont val="Tahoma"/>
            <family val="2"/>
          </rPr>
          <t>moise kagbadouno:</t>
        </r>
        <r>
          <rPr>
            <sz val="9"/>
            <color indexed="81"/>
            <rFont val="Tahoma"/>
            <family val="2"/>
          </rPr>
          <t xml:space="preserve">
carb veh: 200000/15=13333
perd: 420000
fiches: 400000/15=26667
total=460000</t>
        </r>
      </text>
    </comment>
    <comment ref="I156" authorId="0" shapeId="0">
      <text>
        <r>
          <rPr>
            <b/>
            <sz val="9"/>
            <color indexed="81"/>
            <rFont val="Tahoma"/>
            <family val="2"/>
          </rPr>
          <t>Abdoul A.. Diallo:</t>
        </r>
        <r>
          <rPr>
            <sz val="9"/>
            <color indexed="81"/>
            <rFont val="Tahoma"/>
            <family val="2"/>
          </rPr>
          <t xml:space="preserve">
Perdiem (3Enq+1chauf)x4 équip + (2 sup+1 Chauf)x2: 420 000
Carburant( 3 équipes énq+ 1 équip sup): 1511Lx2x10000 = 30 220 000/22x15 = 91 576
Location veh (6veh): 650 000x6= 3 900 000/22 = 177 273
TOTAL = 688 848</t>
        </r>
      </text>
    </comment>
    <comment ref="O156" authorId="0" shapeId="0">
      <text>
        <r>
          <rPr>
            <b/>
            <sz val="9"/>
            <color indexed="81"/>
            <rFont val="Tahoma"/>
            <family val="2"/>
          </rPr>
          <t>Abdoul A.. Diallo:</t>
        </r>
        <r>
          <rPr>
            <sz val="9"/>
            <color indexed="81"/>
            <rFont val="Tahoma"/>
            <family val="2"/>
          </rPr>
          <t xml:space="preserve">
Perdiem (3Enq+1chauf)x4 équip + (2 sup+1 Chauf)x2: 420 000
Carburant( 3 équipes énq+ 1 équip sup): 1511Lx2x10000 = 30 220 000/22x15 = 91 576
Location veh (6veh): 650 000x6= 3 900 000/22 = 177 273
TOTAL = 688 848</t>
        </r>
      </text>
    </comment>
    <comment ref="U156" authorId="0" shapeId="0">
      <text>
        <r>
          <rPr>
            <b/>
            <sz val="9"/>
            <color indexed="81"/>
            <rFont val="Tahoma"/>
            <family val="2"/>
          </rPr>
          <t>Abdoul A.. Diallo:</t>
        </r>
        <r>
          <rPr>
            <sz val="9"/>
            <color indexed="81"/>
            <rFont val="Tahoma"/>
            <family val="2"/>
          </rPr>
          <t xml:space="preserve">
Perdiem (3Enq+1chauf)x4 équip + (2 sup+1 Chauf)x2: 420 000
Carburant( 3 équipes énq+ 1 équip sup): 1511Lx2x10000 = 30 220 000/22x15 = 91 576
Location veh (6veh): 650 000x6= 3 900 000/22 = 177 273
TOTAL = 688 848</t>
        </r>
      </text>
    </comment>
    <comment ref="AA156" authorId="0" shapeId="0">
      <text>
        <r>
          <rPr>
            <b/>
            <sz val="9"/>
            <color indexed="81"/>
            <rFont val="Tahoma"/>
            <family val="2"/>
          </rPr>
          <t>Abdoul A.. Diallo:</t>
        </r>
        <r>
          <rPr>
            <sz val="9"/>
            <color indexed="81"/>
            <rFont val="Tahoma"/>
            <family val="2"/>
          </rPr>
          <t xml:space="preserve">
Perdiem (3Enq+1chauf)x4 équip + (2 sup+1 Chauf)x2: 420 000
Carburant( 3 équipes énq+ 1 équip sup): 1511Lx2x10000 = 30 220 000/22x15 = 91 576
Location veh (6veh): 650 000x6= 3 900 000/22 = 177 273
TOTAL = 688 848</t>
        </r>
      </text>
    </comment>
    <comment ref="I157" authorId="0" shapeId="0">
      <text>
        <r>
          <rPr>
            <b/>
            <sz val="9"/>
            <color indexed="81"/>
            <rFont val="Tahoma"/>
            <family val="2"/>
          </rPr>
          <t>Abdoul A.. Diallo:</t>
        </r>
        <r>
          <rPr>
            <sz val="9"/>
            <color indexed="81"/>
            <rFont val="Tahoma"/>
            <family val="2"/>
          </rPr>
          <t xml:space="preserve">
Perdiem (3Enq+1chauf)x4 équip + (2 sup+1 Chauf)x2: 420 000
Carburant( 3 équipes énq+ 1 équip sup): 1511Lx2x10000 = 30 220 000/22x15 = 91 576
Location veh (6veh): 650 000x6= 3 900 000/22 = 177 273
TOTAL = 688 848</t>
        </r>
      </text>
    </comment>
    <comment ref="I158" authorId="0" shapeId="0">
      <text>
        <r>
          <rPr>
            <b/>
            <sz val="9"/>
            <color indexed="81"/>
            <rFont val="Tahoma"/>
            <family val="2"/>
          </rPr>
          <t>Abdoul A.. Diallo:</t>
        </r>
        <r>
          <rPr>
            <sz val="9"/>
            <color indexed="81"/>
            <rFont val="Tahoma"/>
            <family val="2"/>
          </rPr>
          <t xml:space="preserve">
Perdiem: 420 000x15persx5j 
</t>
        </r>
      </text>
    </comment>
    <comment ref="I160" authorId="0" shapeId="0">
      <text>
        <r>
          <rPr>
            <b/>
            <sz val="9"/>
            <color indexed="81"/>
            <rFont val="Tahoma"/>
            <family val="2"/>
          </rPr>
          <t>Abdoul A.. Diallo:</t>
        </r>
        <r>
          <rPr>
            <sz val="9"/>
            <color indexed="81"/>
            <rFont val="Tahoma"/>
            <family val="2"/>
          </rPr>
          <t xml:space="preserve">
Perdiem: 420 000x15persx5j 
TRANSP 200000
</t>
        </r>
      </text>
    </comment>
    <comment ref="I166" authorId="0" shapeId="0">
      <text>
        <r>
          <rPr>
            <b/>
            <sz val="9"/>
            <color indexed="81"/>
            <rFont val="Tahoma"/>
            <family val="2"/>
          </rPr>
          <t>Abdoul A.. Diallo:</t>
        </r>
        <r>
          <rPr>
            <sz val="9"/>
            <color indexed="81"/>
            <rFont val="Tahoma"/>
            <family val="2"/>
          </rPr>
          <t xml:space="preserve">
Emission radio comm ( 1 émission pendt 7J * 35 districts sanitaires</t>
        </r>
      </text>
    </comment>
    <comment ref="O166" authorId="0" shapeId="0">
      <text>
        <r>
          <rPr>
            <b/>
            <sz val="9"/>
            <color indexed="81"/>
            <rFont val="Tahoma"/>
            <family val="2"/>
          </rPr>
          <t>Abdoul A.. Diallo:</t>
        </r>
        <r>
          <rPr>
            <sz val="9"/>
            <color indexed="81"/>
            <rFont val="Tahoma"/>
            <family val="2"/>
          </rPr>
          <t xml:space="preserve">
Emission radio communautaire(1 Emissionx7jx35 DS): 500 000  =500 000</t>
        </r>
      </text>
    </comment>
    <comment ref="U166" authorId="0" shapeId="0">
      <text>
        <r>
          <rPr>
            <b/>
            <sz val="9"/>
            <color indexed="81"/>
            <rFont val="Tahoma"/>
            <family val="2"/>
          </rPr>
          <t>Abdoul A.. Diallo:</t>
        </r>
        <r>
          <rPr>
            <sz val="9"/>
            <color indexed="81"/>
            <rFont val="Tahoma"/>
            <family val="2"/>
          </rPr>
          <t xml:space="preserve">
Emission radio communautaire(1 Emissionx7jx35 DS): 500 000  =500 000</t>
        </r>
      </text>
    </comment>
    <comment ref="AA166" authorId="0" shapeId="0">
      <text>
        <r>
          <rPr>
            <b/>
            <sz val="9"/>
            <color indexed="81"/>
            <rFont val="Tahoma"/>
            <family val="2"/>
          </rPr>
          <t>Abdoul A.. Diallo:</t>
        </r>
        <r>
          <rPr>
            <sz val="9"/>
            <color indexed="81"/>
            <rFont val="Tahoma"/>
            <family val="2"/>
          </rPr>
          <t xml:space="preserve">
Emission radio communautaire(1 Emissionx7jx35 DS): 500 000  =500 000</t>
        </r>
      </text>
    </comment>
  </commentList>
</comments>
</file>

<file path=xl/sharedStrings.xml><?xml version="1.0" encoding="utf-8"?>
<sst xmlns="http://schemas.openxmlformats.org/spreadsheetml/2006/main" count="1884" uniqueCount="651">
  <si>
    <t>Outil d'établissement des coûts du plan directeur NTD</t>
  </si>
  <si>
    <t>Dans la Région Africaine</t>
  </si>
  <si>
    <t>Version 4 (April 2012)</t>
  </si>
  <si>
    <t>Le contrôle et l'éradication des MTN nécessitent des partenariats solides entre les secteurs, qui disposent de ressources différentes et ont des perspectives différentes. Le contrôle des maladies tropicales négligées exige une coordination et une durabilité de la part des donateurs et des gouvernements nationaux - des ministères de la santé aux finances - et un mécanisme permettant à tous les partenaires de respecter les engagements convenus. Dans le cadre de ce processus, le Bureau régional africain de l'Organisation mondiale de la santé (OMS AFRO) a élaboré le Plan stratégique conjoint de l'OMS pour la lutte contre les maladies tropicales négligées, 2010-2015. Par la suite, l'OMS AFRO a publié le Guide pour l'élaboration d'un plan directeur pour les programmes nationaux de lutte contre les maladies tropicales négligées dans la Région africaine. Cette ligne directrice vise à aider les pays de la Région africaine à élaborer des plans stratégiques de haute qualité en tenant compte de la nécessité d'atteindre l'objectif des OMD pour 2015. Il sert aussi de cadre pour la coordination, l'harmonisation et l'alignement des partenaires. L'un des principaux produits à livrer à la fin du processus est un budget complet du programme national de lutte contre les MTN avec analyse des lacunes, le cas échéant. L'analyse du coût et du financement d'un programme national de lutte contre les MTN est une étape clé du processus de planification. Cela permet d'examiner les progrès et de mettre à jour ou de réviser le plan si nécessaire.</t>
  </si>
  <si>
    <t>Pour aider à réaliser l'élément de coût et de financement d'un plan directeur MTN, un outil Microsoft Excel a été développé - l'Outil d'établissement des coûts du plan directeur des MTN - pour faciliter les besoins en médicaments et estimer les coûts opérationnels futurs du programme national MTN.</t>
  </si>
  <si>
    <t>L'outil contient 11 feuilles de travail appelées :</t>
  </si>
  <si>
    <t>0) Accueil</t>
  </si>
  <si>
    <t>1) Population</t>
  </si>
  <si>
    <t>2) Plan MDA</t>
  </si>
  <si>
    <t>3) Coût de l'activité</t>
  </si>
  <si>
    <t>4) Coût d'investissement</t>
  </si>
  <si>
    <t>5) Financement</t>
  </si>
  <si>
    <t>6) Coût des médicaments</t>
  </si>
  <si>
    <t>7) Résumé et écart</t>
  </si>
  <si>
    <t>8) Analyse</t>
  </si>
  <si>
    <t>9) Population cible</t>
  </si>
  <si>
    <t>10) Traitement</t>
  </si>
  <si>
    <t>L'entrée de données principale est requise dans les feuilles de travail 1) à 6) uniquement. Les autres sont générés automatiquement.</t>
  </si>
  <si>
    <t>Feuilles de travail 1) Population à 4) Le coût des médicaments est l'endroit où toutes les données pour le plan futur des activités de lutte intégrée contre les MTN sont saisies.</t>
  </si>
  <si>
    <t>Feuille de travail 5) Le financement est l'endroit où les données sur les contributions du ministère de la Santé ainsi que des donateurs et des partenaires sont saisies.</t>
  </si>
  <si>
    <t>Feuille de travail 6) Le coût des médicaments est l'endroit où l'entrée des données de coût unitaire pour certains médicaments PC achetés par les programmes nationaux est requise.</t>
  </si>
  <si>
    <t>Feuille de travail 7) Résumé et écart et 8) L'analyse générera automatiquement un résumé des besoins financiers et de l'écart au cours des 5 prochaines années et des indicateurs d'analyse, tels que le coût par traitement ou par personne traitée.</t>
  </si>
  <si>
    <t>Instruction sur la couleur des cellules</t>
  </si>
  <si>
    <t>Mettre du texte</t>
  </si>
  <si>
    <t>Mettre les nombres</t>
  </si>
  <si>
    <t>Cellules protégées</t>
  </si>
  <si>
    <t>* Pour ôter la protection de chaque feuille de calcul, s'il vous plaît aller à "Révision"&gt; "ôter la protection"</t>
  </si>
  <si>
    <t>* Pour insérer de nouvelles lignes / colonnes, veuillez copier les mêmes lignes / colonnes que vous souhaitez ajouter, surlignez l'emplacement où vous souhaitez ajouter de nouvelles lignes / colonnes, cliquez avec le bouton droit de la souris et "insérer une cellule copiée"</t>
  </si>
  <si>
    <t>Budget pluriannuel pour le contrôle intégré des MTN</t>
  </si>
  <si>
    <t>Nom du Pays</t>
  </si>
  <si>
    <t>Première année de projection</t>
  </si>
  <si>
    <t>La priorité stratégique pour la Région Africaine</t>
  </si>
  <si>
    <t>Priorité stratégique 1</t>
  </si>
  <si>
    <t>Accroître l'accès aux interventions, au traitement et au renforcement des capacités du système</t>
  </si>
  <si>
    <t>Priorité stratégique 2</t>
  </si>
  <si>
    <t>Améliorer la planification des résultats, la mobilisation des ressources et la viabilité financière des programmes nationaux de lutte contre les MTN</t>
  </si>
  <si>
    <t>Priorité stratégique 3</t>
  </si>
  <si>
    <t>Renforcer l'appropriation par le gouvernement, le plaidoyer, la coordination et le partenariat</t>
  </si>
  <si>
    <t>Priorité stratégique 4</t>
  </si>
  <si>
    <t>Améliorer la surveillance et l'évaluation des MTN, la surveillance et la recherche opérationnelle</t>
  </si>
  <si>
    <t>% pre-SAC (12-59 mois) dans la population totale</t>
  </si>
  <si>
    <t>% 0-6 mois dans la population totale</t>
  </si>
  <si>
    <t>% SAC (5-14 ans) dans la population totale</t>
  </si>
  <si>
    <t>% 6-59 mois dans la population totale</t>
  </si>
  <si>
    <t>% Adultes (&gt;15ans) dans la population totale</t>
  </si>
  <si>
    <r>
      <t xml:space="preserve">% </t>
    </r>
    <r>
      <rPr>
        <b/>
        <u/>
        <sz val="9"/>
        <rFont val="Calibri"/>
        <family val="2"/>
      </rPr>
      <t>&gt;</t>
    </r>
    <r>
      <rPr>
        <b/>
        <sz val="9"/>
        <rFont val="Calibri"/>
        <family val="2"/>
      </rPr>
      <t>5 ans dans la population totale</t>
    </r>
  </si>
  <si>
    <t>Taux d'accroissement de la Population (%)</t>
  </si>
  <si>
    <t>Responsable de l'outil d'évaluation des coûts de la MTN</t>
  </si>
  <si>
    <t>Nom :</t>
  </si>
  <si>
    <t>Titre :</t>
  </si>
  <si>
    <t xml:space="preserve">Email : </t>
  </si>
  <si>
    <t>No.</t>
  </si>
  <si>
    <t>Province</t>
  </si>
  <si>
    <t>District</t>
  </si>
  <si>
    <t>Total</t>
  </si>
  <si>
    <t>Population cible pour l'oncho</t>
  </si>
  <si>
    <t>Population cible pour le trachome</t>
  </si>
  <si>
    <t>Population adulte pour la schisto</t>
  </si>
  <si>
    <t>Population adulte pour la STH</t>
  </si>
  <si>
    <t>pre-SAC</t>
  </si>
  <si>
    <t>SAC</t>
  </si>
  <si>
    <t>Filariose lymphatique</t>
  </si>
  <si>
    <t>Onchocercose</t>
  </si>
  <si>
    <t>Schistosomiase</t>
  </si>
  <si>
    <t>STH</t>
  </si>
  <si>
    <t>Trachome</t>
  </si>
  <si>
    <t>Endémicité</t>
  </si>
  <si>
    <t>No. de tours de PC planifiés (réalisés)</t>
  </si>
  <si>
    <t>Targeted number of treatment</t>
  </si>
  <si>
    <t>NTD</t>
  </si>
  <si>
    <t>LF</t>
  </si>
  <si>
    <t>Onchocerciasis</t>
  </si>
  <si>
    <t>Schistosomiasis</t>
  </si>
  <si>
    <t>Trachoma</t>
  </si>
  <si>
    <t>SO</t>
  </si>
  <si>
    <t>Catégorie</t>
  </si>
  <si>
    <t>Activités</t>
  </si>
  <si>
    <t>Sous Activités</t>
  </si>
  <si>
    <t>Responsable</t>
  </si>
  <si>
    <t>Ressources nécessaires</t>
  </si>
  <si>
    <t>Détails</t>
  </si>
  <si>
    <t>Coût unitaire</t>
  </si>
  <si>
    <t>Quantité</t>
  </si>
  <si>
    <t># jours</t>
  </si>
  <si>
    <t># place</t>
  </si>
  <si>
    <t># fois</t>
  </si>
  <si>
    <t>Coordination Mechanisms</t>
  </si>
  <si>
    <t>SO1</t>
  </si>
  <si>
    <t>Strengthening &amp; Fostering Partnerships</t>
  </si>
  <si>
    <t>SO2</t>
  </si>
  <si>
    <t>High-level Review Meetings</t>
  </si>
  <si>
    <t>SO3</t>
  </si>
  <si>
    <t xml:space="preserve">Advocacy and Communication </t>
  </si>
  <si>
    <t>SO4</t>
  </si>
  <si>
    <t>Strategic and operational planning</t>
  </si>
  <si>
    <t>SO5</t>
  </si>
  <si>
    <t>Resource Mobilization  Initiatives</t>
  </si>
  <si>
    <t>SO6</t>
  </si>
  <si>
    <t>Integration &amp; Linkages of Plans &amp; Budgets</t>
  </si>
  <si>
    <t>SO7</t>
  </si>
  <si>
    <t>Update of Policies, Guidelines &amp; Tools</t>
  </si>
  <si>
    <t>SO8</t>
  </si>
  <si>
    <t>Mapping</t>
  </si>
  <si>
    <t>SO9</t>
  </si>
  <si>
    <t>Mass Drug Administration</t>
  </si>
  <si>
    <t>SO10</t>
  </si>
  <si>
    <t>Procurement of medicine (PC)</t>
  </si>
  <si>
    <t>Procurement of medicine (CM)</t>
  </si>
  <si>
    <t>Case/Morbidity management &amp; disability prevention</t>
  </si>
  <si>
    <t>Vector and Environmental Measurement</t>
  </si>
  <si>
    <t>Capacity Strengthening at National HQs</t>
  </si>
  <si>
    <t>Infrastructure &amp; Logistics</t>
  </si>
  <si>
    <t>Monitoring, Supervision &amp; Evaluation</t>
  </si>
  <si>
    <t>Disease surveillance, response &amp; control</t>
  </si>
  <si>
    <t>Operational research</t>
  </si>
  <si>
    <t>Data management</t>
  </si>
  <si>
    <t>Item</t>
  </si>
  <si>
    <t xml:space="preserve"> Financement pour les coûts opérationnels (exprimés en monnaie locale)</t>
  </si>
  <si>
    <t>Priorité stratégique</t>
  </si>
  <si>
    <t>Govt</t>
  </si>
  <si>
    <t>USAID</t>
  </si>
  <si>
    <t>APOC</t>
  </si>
  <si>
    <t>ITI</t>
  </si>
  <si>
    <t>CNTD</t>
  </si>
  <si>
    <t>Gap</t>
  </si>
  <si>
    <t>PS1</t>
  </si>
  <si>
    <t>Cartographie</t>
  </si>
  <si>
    <t>Administration de médicaments en campagne de masse</t>
  </si>
  <si>
    <t>Acquisition de médicaments (PC)</t>
  </si>
  <si>
    <t>Acquisition de médicaments (CM)</t>
  </si>
  <si>
    <t>Gestion de cas / morbidité et prévention de l'invalidité</t>
  </si>
  <si>
    <t>Vecteur et mesure environnementale</t>
  </si>
  <si>
    <t>Renforcement des capacités aux QG nationaux</t>
  </si>
  <si>
    <t>Infrastructure et logistique</t>
  </si>
  <si>
    <t>PS2</t>
  </si>
  <si>
    <t>Planification stratégique et opérationnelle</t>
  </si>
  <si>
    <t>Initiatives de mobilisation de ressources</t>
  </si>
  <si>
    <t>Intégration et liens des plans et des budgets</t>
  </si>
  <si>
    <t>Mise à jour des politiques, des lignes directrices et des outils</t>
  </si>
  <si>
    <t>PS3</t>
  </si>
  <si>
    <t>Mécanismes de coordination</t>
  </si>
  <si>
    <t>Renforcer et favoriser les partenariats</t>
  </si>
  <si>
    <t>Réunions d'examen de haut niveau</t>
  </si>
  <si>
    <t>Plaidoyer et communication</t>
  </si>
  <si>
    <t>PS4</t>
  </si>
  <si>
    <t>Surveillance, supervision et évaluation</t>
  </si>
  <si>
    <t>Surveillance des maladies, réponse et contrôle</t>
  </si>
  <si>
    <t>Recherche opérationnelle</t>
  </si>
  <si>
    <t>Gestion de données</t>
  </si>
  <si>
    <t>Sub-total</t>
  </si>
  <si>
    <t xml:space="preserve"> Coût des investissements et la rémunération annuelle du personnel national (exprimée en monnaie locale)</t>
  </si>
  <si>
    <t>MoH</t>
  </si>
  <si>
    <t>Coût des investissements + compensation anunuelle</t>
  </si>
  <si>
    <t xml:space="preserve"> Donation en médicaments (exprimé en nombre de comprimés)</t>
  </si>
  <si>
    <t>Médicaments</t>
  </si>
  <si>
    <t>Ivermectin (3mg tablets)</t>
  </si>
  <si>
    <t>DEC (100mg tablets)</t>
  </si>
  <si>
    <t>Praziquantel (600mg tablets)</t>
  </si>
  <si>
    <t>Albendazole (400mg tab) for LF</t>
  </si>
  <si>
    <t>Albendazole (400mg tab)/Mebendazole (500mg tab) for STH</t>
  </si>
  <si>
    <t>TEO (5mg tubes)</t>
  </si>
  <si>
    <t>Azithromycin POS (30ml bottles)</t>
  </si>
  <si>
    <t>Azithromycin (250mg tablets)</t>
  </si>
  <si>
    <t>Programme</t>
  </si>
  <si>
    <t>Présentation</t>
  </si>
  <si>
    <t>Unit Cost*  (US$/tablet)</t>
  </si>
  <si>
    <t>Dose (no./person/year)</t>
  </si>
  <si>
    <t>Régime de traitement</t>
  </si>
  <si>
    <t xml:space="preserve">Ivermectin </t>
  </si>
  <si>
    <t>LF, Oncho</t>
  </si>
  <si>
    <t>Comprimé/3mg</t>
  </si>
  <si>
    <t>3 comprimés de 3mg/personne</t>
  </si>
  <si>
    <t xml:space="preserve">DEC </t>
  </si>
  <si>
    <t>Comprimé/100mg</t>
  </si>
  <si>
    <t>2,5mg comprimés de 600mg/personne</t>
  </si>
  <si>
    <t>Albendazole</t>
  </si>
  <si>
    <t>Comprimé/400mg</t>
  </si>
  <si>
    <t>1 comprimé of 400mg/personne</t>
  </si>
  <si>
    <t xml:space="preserve">Praziquantel </t>
  </si>
  <si>
    <t>Schisto</t>
  </si>
  <si>
    <t>Comprimé/600mg</t>
  </si>
  <si>
    <t>2,5 comprimés of 600mg/personne</t>
  </si>
  <si>
    <t>Albendazole/Mebendazole</t>
  </si>
  <si>
    <t>Comprimé/500mg</t>
  </si>
  <si>
    <t>1 comprimé of 500mg/personne</t>
  </si>
  <si>
    <t>Azithromycin</t>
  </si>
  <si>
    <t>Comprimé/250mg</t>
  </si>
  <si>
    <t>3 or 4 comprimés de 250mg/personne</t>
  </si>
  <si>
    <t>Azithromycin POS</t>
  </si>
  <si>
    <t>Bouteille/15ml (200mg)</t>
  </si>
  <si>
    <t>1 bouteille de 200mg/15ml pour 3 personnes (&gt; 6 mois d'âge)</t>
  </si>
  <si>
    <t>TEO</t>
  </si>
  <si>
    <t>Tube/5mg</t>
  </si>
  <si>
    <t>2 tubes de 5g/personne (&lt;6 mois old'âged)</t>
  </si>
  <si>
    <t>* Les coûts unitaires sont pré-remplis avec la valeur de don par défaut de chaque médicament par unité, sauf pour DEC, PZQ et TEO. S'il vous plaît entrer un coût basé sur les fabricants et le prix d'achat avec lequel vous travaillez.</t>
  </si>
  <si>
    <t>TARGET POPULATION for Preventive Chemotherapy</t>
  </si>
  <si>
    <t>Maladie</t>
  </si>
  <si>
    <t>Disease-specific</t>
  </si>
  <si>
    <t>PC for &gt;1 disease</t>
  </si>
  <si>
    <t>Target pop</t>
  </si>
  <si>
    <t>STH = helminthises?</t>
  </si>
  <si>
    <t>Trachome cécitant</t>
  </si>
  <si>
    <t>BESOIN DE FINANCEMENT ET GAP (en supposant que les contributions du gouvernement et des différents partenaires de la première année se poursuivent jusqu'à la cinquième année)</t>
  </si>
  <si>
    <t>Strategic Priority</t>
  </si>
  <si>
    <t>Total 5 years</t>
  </si>
  <si>
    <t>Cost</t>
  </si>
  <si>
    <t>SP1</t>
  </si>
  <si>
    <t>SP2</t>
  </si>
  <si>
    <t>SP3</t>
  </si>
  <si>
    <t>SP4</t>
  </si>
  <si>
    <t>Coût Total avec coûts des médicaments</t>
  </si>
  <si>
    <t>Coût Total sans coûts des médicaments</t>
  </si>
  <si>
    <t>Coût des investissements et rémunération annuelle du personnel national (en supposant que les contributions du gouvernement et des différents partenaires au cours de la première année se poursuivent jusqu'à la cinquième année)</t>
  </si>
  <si>
    <t>Coûts des investissements et compensations annuelles</t>
  </si>
  <si>
    <t>BESOINS EN MATIÈRE DE MEDICAMENTS pour la chimiothérapie préventive et GAP pour les maladies  (en supposant que les contributions du gouvernement et des différents partenaires de la première année se poursuivent jusqu'à la cinquième année)</t>
  </si>
  <si>
    <t>Need</t>
  </si>
  <si>
    <t>Albendazole (400mg tab)/Mebendazole (500mg tab)</t>
  </si>
  <si>
    <t>INDICATORS for ANALYSIS (1st year)</t>
  </si>
  <si>
    <t>Cost per treatment</t>
  </si>
  <si>
    <t>PCT intervention</t>
  </si>
  <si>
    <t>(assuming no integration across diseases)</t>
  </si>
  <si>
    <t xml:space="preserve"> US$/person (with drug)</t>
  </si>
  <si>
    <t xml:space="preserve"> US$/person treated (witouth drug)</t>
  </si>
  <si>
    <t>(assuming integration across diseases)</t>
  </si>
  <si>
    <t xml:space="preserve"> US$/person treated (without drug)</t>
  </si>
  <si>
    <t>Case Management</t>
  </si>
  <si>
    <t xml:space="preserve"> districts endemic for CM diseases</t>
  </si>
  <si>
    <t xml:space="preserve"> US$ per district (without drug)</t>
  </si>
  <si>
    <t>Personnel</t>
  </si>
  <si>
    <t>Transport</t>
  </si>
  <si>
    <t>Equipment/materials</t>
  </si>
  <si>
    <t>*This analysis does not include capital cost and cost for annual compensation of national personnel.</t>
  </si>
  <si>
    <t>Activities and Sub-activities</t>
  </si>
  <si>
    <t>Total budget (GNF)</t>
  </si>
  <si>
    <t>Contribution</t>
  </si>
  <si>
    <t>Country</t>
  </si>
  <si>
    <t xml:space="preserve">Partners </t>
  </si>
  <si>
    <t>1. Scale-up Interventions</t>
  </si>
  <si>
    <t>Total 3</t>
  </si>
  <si>
    <t>2. Planning and Resource Mobilization</t>
  </si>
  <si>
    <t>Total 2</t>
  </si>
  <si>
    <t>3. Coordination, Partnership &amp; Advocacy</t>
  </si>
  <si>
    <t>Total 1</t>
  </si>
  <si>
    <t>4. M&amp;E, Research</t>
  </si>
  <si>
    <t>Total 4</t>
  </si>
  <si>
    <t>GRAND TOTAL</t>
  </si>
  <si>
    <t>Total budget (USD)</t>
  </si>
  <si>
    <t>3. Scale-up Interventions</t>
  </si>
  <si>
    <t>1. Coordination, Partnership &amp; Advocacy</t>
  </si>
  <si>
    <t xml:space="preserve">                                                    1 USD =</t>
  </si>
  <si>
    <t>GNF</t>
  </si>
  <si>
    <t>Oncho</t>
  </si>
  <si>
    <t>SCH</t>
  </si>
  <si>
    <t>PC</t>
  </si>
  <si>
    <t>Pre-SAC</t>
  </si>
  <si>
    <t>Adults</t>
  </si>
  <si>
    <t>0-6 mo</t>
  </si>
  <si>
    <t>6-59 mo</t>
  </si>
  <si>
    <t>IVM</t>
  </si>
  <si>
    <t>DEC</t>
  </si>
  <si>
    <t>ALB for LF</t>
  </si>
  <si>
    <t>Remaining ALB or MBD for STH</t>
  </si>
  <si>
    <t>PZQ</t>
  </si>
  <si>
    <t>AZT-POS</t>
  </si>
  <si>
    <t>AZT tablet</t>
  </si>
  <si>
    <t>Category</t>
  </si>
  <si>
    <t>Administration de médicaments de masse</t>
  </si>
  <si>
    <t>GUINEE</t>
  </si>
  <si>
    <t>Région</t>
  </si>
  <si>
    <t>BOKE</t>
  </si>
  <si>
    <t>Boffa</t>
  </si>
  <si>
    <t>Boké</t>
  </si>
  <si>
    <t>Fria</t>
  </si>
  <si>
    <t>Gaoual</t>
  </si>
  <si>
    <t>Koundara</t>
  </si>
  <si>
    <t>CONAKRY</t>
  </si>
  <si>
    <t>Dixinn</t>
  </si>
  <si>
    <t>Kaloum</t>
  </si>
  <si>
    <t>Matam</t>
  </si>
  <si>
    <t>Matoto</t>
  </si>
  <si>
    <t>Ratoma</t>
  </si>
  <si>
    <t>FARANAH</t>
  </si>
  <si>
    <t>Dabola</t>
  </si>
  <si>
    <t>Dinguiraye</t>
  </si>
  <si>
    <t>Faranah</t>
  </si>
  <si>
    <t>Kissidougou</t>
  </si>
  <si>
    <t>KANKAN</t>
  </si>
  <si>
    <t>Kankan</t>
  </si>
  <si>
    <t>Kérouané</t>
  </si>
  <si>
    <t>Kouroussa</t>
  </si>
  <si>
    <t>Mandiana</t>
  </si>
  <si>
    <t>Siguiri</t>
  </si>
  <si>
    <t>KINDIA</t>
  </si>
  <si>
    <t>Coyah</t>
  </si>
  <si>
    <t>Dubréka</t>
  </si>
  <si>
    <t>Forécariah</t>
  </si>
  <si>
    <t>Kindia</t>
  </si>
  <si>
    <t>Télimélé</t>
  </si>
  <si>
    <t>LABE</t>
  </si>
  <si>
    <t>Koubia</t>
  </si>
  <si>
    <t>Labé</t>
  </si>
  <si>
    <t>Lélouma</t>
  </si>
  <si>
    <t>Mali</t>
  </si>
  <si>
    <t>Tougué</t>
  </si>
  <si>
    <t>MAMOU</t>
  </si>
  <si>
    <t>Dalaba</t>
  </si>
  <si>
    <t>Mamou</t>
  </si>
  <si>
    <t>Pita</t>
  </si>
  <si>
    <t>N'ZEREKORE</t>
  </si>
  <si>
    <t>Beyla</t>
  </si>
  <si>
    <t>Guéckédou</t>
  </si>
  <si>
    <t>Lola</t>
  </si>
  <si>
    <t>Macenta</t>
  </si>
  <si>
    <t>N'Zérékoré</t>
  </si>
  <si>
    <t>Yomou</t>
  </si>
  <si>
    <t>1. Rendre disponible les Médicaments au niveau des structures de Mise en œuvre</t>
  </si>
  <si>
    <t xml:space="preserve">Assurer  la commande des médicaments pour la CTP </t>
  </si>
  <si>
    <t xml:space="preserve">Humaines et matérielles </t>
  </si>
  <si>
    <t xml:space="preserve">Formulaires JRSM, FRC, EPIRF </t>
  </si>
  <si>
    <t>Réceptionner les médicaments</t>
  </si>
  <si>
    <t>Dossiers d'exoneration, bordereau de réception, frais de stockage, frais de transit</t>
  </si>
  <si>
    <t>Approvisionner les structures en médicaments</t>
  </si>
  <si>
    <t xml:space="preserve">Humaines, matérielles et financières </t>
  </si>
  <si>
    <t>2. Renforcer les capacités des acteurs de mise en œuvre</t>
  </si>
  <si>
    <t>Organiser la cérémonie du lancement National des campagnes de DMM</t>
  </si>
  <si>
    <t>3. Assurer la distribution coordonnée des Médicaments</t>
  </si>
  <si>
    <t>Organiser 35 cérémonies de lancement officiel des campagnes de DMM dans les districts sanitaires</t>
  </si>
  <si>
    <t>Distribuer les médicaments à la population cible</t>
  </si>
  <si>
    <t xml:space="preserve"> Réaliser 35 missions de Supervision de  la DMM par une  personne pendant 14 jours par an pour le niveau central </t>
  </si>
  <si>
    <t xml:space="preserve"> Réaliser 35 missions de Supervision de  la DMM par deux  personnes pendant 05 jours par an pour le niveau Régional </t>
  </si>
  <si>
    <t xml:space="preserve"> Réaliser 35 missions de Supervision de  la DMM par deux  personnes pendant 07 jours par an pour le niveau préfectoral </t>
  </si>
  <si>
    <t xml:space="preserve"> Réaliser 412 missions de Supervision de  la DMM par deux  personnes pendant 05 jours par an pour le niveau sous-préfectoral </t>
  </si>
  <si>
    <t>4. Evaluer la campagne de distribution coordonnée</t>
  </si>
  <si>
    <t>Faire le monitorage indépendant de la DMM dans 35 districts sanitaires une fois par an</t>
  </si>
  <si>
    <t>Réaliser une enquete de couverture post-campagne</t>
  </si>
  <si>
    <t>Organiser 35 réunions annuelles de synthèse préfectorale des données de la DMM</t>
  </si>
  <si>
    <t xml:space="preserve">Organiser 08 réunions annuelles de synthèse Régionale des données de la DMM </t>
  </si>
  <si>
    <t>1. Réaliser la cartographie de l’Ulcère de Buruli dans 10 districts sanitaires (Boké, Dubréka, Forécariah, Tougué, Mamou, Kindia, Kérouané, Kouroussa, Kissidougou, Dabola)</t>
  </si>
  <si>
    <t>Former 11 enquêteurs (CCS, infirmiers spécialistes et agents communautaires) par district pendant 03 jours</t>
  </si>
  <si>
    <t>Réaliser le dépistage actif de l'ulcère de Buruli (UB) dans 10 DS pendant 08 jours dans chaque district</t>
  </si>
  <si>
    <t>Assurer le transport des échantillons collectés vers les laboratoires de Conakry, Abidjan et Anvers</t>
  </si>
  <si>
    <t>Former/Recycler 30 agents de laboratoire sur le diagnostic de l'UB pendant 05 jours une fois par an</t>
  </si>
  <si>
    <t>Former 10 agents à l'utilisation et à l'analyse des données en EPI-INFO pendant 05 jours dans 08 Régions sur la Lèpre</t>
  </si>
  <si>
    <t>Former/Recycler 08 agents de santé par DS dans les 04 districts sous surveillance de la THA pendant 07 jours (Pita, Kankan, Guéckedou et N'Zérékoré)</t>
  </si>
  <si>
    <t>Former 48 médecins en quatre pools à la chirurgie de l'hydrocèle en 05 jours</t>
  </si>
  <si>
    <t xml:space="preserve">3. Prendre en charge les cas et les complications/ handicap </t>
  </si>
  <si>
    <t>Approvisionner les centres de référence des complications de Lèpre et de l'UB de Boké et Conakry en médicaments et materiels spécifiques</t>
  </si>
  <si>
    <t>Approvisionner les DS en médicaments spécifiques de la Lèpre et réactifs de Laboratoire</t>
  </si>
  <si>
    <t>Assurer la PEC alimentaire des malades Lèpreux et ulcéreux hospitalisés</t>
  </si>
  <si>
    <t>Approvisionner 40 centres de santé de 04 DS endémiques en réactifs pour le diagnostic de la THA</t>
  </si>
  <si>
    <t xml:space="preserve">Approvisionner les centres de traitement spécifique THA, Lèpre et UB en médicaments essentiels pour le traitement des affections concomittentes </t>
  </si>
  <si>
    <t>Assurer le dépistage annuel des cas d'hydrocèle, de lymphoedèmes, de trichiasis lors des DMM</t>
  </si>
  <si>
    <t>Approvisionner les 05 centres spécialisés en kit de PEC des cas d'hydrocèle dans les 05 hopitaux régionaux( Faranah, Kankan, N'Zérékoré, Boké et Labé)</t>
  </si>
  <si>
    <t xml:space="preserve">Assurer annuellement la PEC chirurgicale d'au moins 500 cas d'hydrocèle dans les 05 hopitaux régionaux( Faranah, Kankan, N'Zérékoré, Boké et Labé)  </t>
  </si>
  <si>
    <t>Assurer le dépistage annuel des cas de trichiasis trachomateux dans les 18 districts endémiques</t>
  </si>
  <si>
    <t>Approvisionner les équipes mobiles , les centres spécialisés en kit de PEC des cas de TT</t>
  </si>
  <si>
    <t xml:space="preserve">Opérer annuellement au moins1000 cas de TT en stratégie mobile et dans les centres spécialisés du pays </t>
  </si>
  <si>
    <t>1. Développer les activités génératrices de revenus pour les handicapés de la lèpre, d’onchocercose, de trachome et de filariose lymphatique</t>
  </si>
  <si>
    <t>Récenser les personnes vivant avec un handicap du aux MTN</t>
  </si>
  <si>
    <t>Identifier les besoins d'assistance aux handicapés</t>
  </si>
  <si>
    <t>Offrir  une assistance financière  aux handicapés pour leur permettre de developper une activité génératrice de revenu (agricole, elevage,petit commerce, etc)</t>
  </si>
  <si>
    <t>Sensibiliser la population sur l'acceptation des handicapés au sein de la communauté en vue d'éviter la stigmatisation</t>
  </si>
  <si>
    <t>2. Renforcer les centres  Régionaux de référence pour la  prévention et la réadaptation physique des cas de Lèpre, THA et UB</t>
  </si>
  <si>
    <t>Approvisionner en consommables et en matériel bureautique les centres de référence de Macenta, Kankan,Pita et Kindia</t>
  </si>
  <si>
    <t>Approvisionner en intrants les plateaux techniques pour la PEC chirurgicale</t>
  </si>
  <si>
    <t>1. Assurer la lutte anti vectorielle contre les mouches tsé-tsé</t>
  </si>
  <si>
    <t xml:space="preserve">Sensibiliser la population sur l'utilité des écrans, la pose et leur entretien. </t>
  </si>
  <si>
    <t>Identifier les espèces et la zone de partage homme-vecteur THA dans les communautés des 04 districts endémiques</t>
  </si>
  <si>
    <t>Poser au moins 4000 écrans impregnés d'insecticide  par an dans chacun des 04 districts endémiques à la THA</t>
  </si>
  <si>
    <t>2. Assurer la lutte anti vectorielle contre les moustiques </t>
  </si>
  <si>
    <t>Sensibiliser les populations sur l'utlisation des MILDA</t>
  </si>
  <si>
    <t>Contribuer à l’assainissement et à l’hygiène du milieu pour lutter contre les gites larvaires de moustiques</t>
  </si>
  <si>
    <t xml:space="preserve">3. Assurer la lutte anti vectorielle  contre les mollusques ;  </t>
  </si>
  <si>
    <t xml:space="preserve">Réaliser une étude malacologique dans les DS à prévalence égale ou supérieure à 50 % (Lélouma, Nzérékoré, Lola, Yomou, Macenta, gueckédou, Dinguiraye, Siguiri et Kindia </t>
  </si>
  <si>
    <t>Organiser des séances de curage des gites à mollusques dans les milieux identifiés</t>
  </si>
  <si>
    <t>1. Adopter, Valider et diffuser le plan directeur de lutte contre les MTN</t>
  </si>
  <si>
    <t>Organiser un atelier d'adoption du plan directeur de 35 participants de 2 jours à Mamou</t>
  </si>
  <si>
    <t>Reproduire le plan adopté en 25 exemplaires pour la soumission au Conseil de Cabinet du Ministre afin de validation</t>
  </si>
  <si>
    <t>Reproduire le resumé du plan en 1500 exemplaires (sous forme de dépliants) pour la diffusion au grand public</t>
  </si>
  <si>
    <t>Organiser une journée de présentation et diffusion du plan directeur aux parties prénantes à l'hôtel Sheraton de Kippé</t>
  </si>
  <si>
    <t>2. Elaborer les plans opérationnels annuels à tous les niveaux</t>
  </si>
  <si>
    <t>Organiser 8 missions d’appui à l’élaboration des plans opérationnels des Régions sanitaires de 2 jours par 1 personne.</t>
  </si>
  <si>
    <t>Organiser 35 missions de 3 jours d’appui à l’élaboration des plans opérationnels des Districts sanitaires</t>
  </si>
  <si>
    <t>1. Elaborer un guide de micro planification opérationnelle intégrée sur les MTN</t>
  </si>
  <si>
    <t xml:space="preserve">Recruter un consultant national pour une période de 2 semaines afin d'appuyer l'élaboration du guide intégré de microplanification des activités de lutte contre les MTN </t>
  </si>
  <si>
    <t>Organiser un atelier d'élaboration d'un guide intégré de micro planification des activités de lutte contre les MTN pendant 3 jours pour 20 participants à Kindia</t>
  </si>
  <si>
    <t>2. Former les équipes des districts sanitaires en  micro planification opérationnelle intégrée sur les MTN</t>
  </si>
  <si>
    <t>Organiser 34 ateliers de formation en microplanification des activités de lutte contre les MTN  dans 34 Districts) pendant 2 jours pour 5 participants par District</t>
  </si>
  <si>
    <t>1. Inventorier les sources potentielles de financement dans le cadre de la lutte contre les MTN: Etat et les groupes organisés (les entreprises, les sociétés, et toutes autres sources possibles de financement)</t>
  </si>
  <si>
    <t>2. Elaborer un plan de plaidoyer pour la lutte contre les MTN</t>
  </si>
  <si>
    <t>Organiser un atelier d'élaboration d'un plan de plaidoyer pour la mobilisation des ressourcs en faveur de la lutte contre les MTN pendant 3 jours pour 15 participants à Coyah</t>
  </si>
  <si>
    <t>3. Mobiliser les ressources en faveur de la lutte contre les MTN</t>
  </si>
  <si>
    <t>Organiser un forum national des partenaires à Conakry sur les MTN</t>
  </si>
  <si>
    <t>Organiser une réunion annuelle de plaidoyer pour le financement du plan opérationnel au niveau des préfectures et des Régions</t>
  </si>
  <si>
    <t>1. Elaborer le document portant création, organisation et fonctionnement de la Coordination MTN</t>
  </si>
  <si>
    <t>Définir le cadre organique de la coordination MTN (description de poste et profil du chef de poste)</t>
  </si>
  <si>
    <t>Elaboration de la note technique pour la requête portant création de la coordination MTN</t>
  </si>
  <si>
    <t>2. Améliorer les conditions de travail de la coordination MTN</t>
  </si>
  <si>
    <t>Doter la coordination MTN d’une infrastructure adéquate pour abriter les bureaux ;</t>
  </si>
  <si>
    <t xml:space="preserve">Doter la coordination MTN en personnels : 1 coordonnateur, 1 coordonnateur adjoint, 1 chef d'unité Suivi-Evaluation, 2 Data managers, 1 chef de service administratif et Financier, 1 comptable, 2 assistants secrétaires, 3 chauffeurs </t>
  </si>
  <si>
    <t>Doter la coordination en 5 véhicules 4x4 tout terrain de marque Toyota</t>
  </si>
  <si>
    <t>Doter la coordination MTN en matériel de bureau et informatique : 5 bureaux professionnels, 10 ordinateurs portables, 3 imprimantes/photocopieurs/scannerds, 3 retroprojecteurs, 10 mégaphones</t>
  </si>
  <si>
    <t>Doter la coordination MTN en outil de communication Internet</t>
  </si>
  <si>
    <t>3. Amener le Cabinet du Ministère de la santé à classer la lutte contre les MTN parmi ses priorités budgétaires</t>
  </si>
  <si>
    <t>Assurer un plaidoyer intense auprès de la DAF et du Bureau Stratégique et Développement (BSD) pour l'inscription dans le budget du Ministère de la santé de la ligne budgétaire lutte contre les MTN</t>
  </si>
  <si>
    <t>Assurer le suivi des dossiers de financement auprès de la DAF, du BSD et du Ministère des Finances et du Budget</t>
  </si>
  <si>
    <t>4. Amener le Ministère des Finances à mettre à disposition les fonds inscrits sur la ligne budgétaire MTN</t>
  </si>
  <si>
    <t>Faire un plaidoyer assidu auprès du Ministère des finances et du Budget pour le transfert des fonds inscrits annuellement dans le compte du Programme MTN</t>
  </si>
  <si>
    <t>Assurer un suivi intense et régulier des dossiers de financement pour le transfert des fonds dans le compte du Programme MTN</t>
  </si>
  <si>
    <t>1. Renforcer le mécanisme de gouvernance des ressources mobilisées et du respect des clauses</t>
  </si>
  <si>
    <t>Respecter les procédures administratives et financières dans l'exécution du budget</t>
  </si>
  <si>
    <t>Mettre en place une Taskforce sur les MTN</t>
  </si>
  <si>
    <t>Organiser 02 réunions de la Taskforce par an</t>
  </si>
  <si>
    <t xml:space="preserve">Effectuer l'audit du compte du Programme MTN une fois par an </t>
  </si>
  <si>
    <t xml:space="preserve">1. Renforcer les capacités de l’équipe cadre de la coordination du Programme MTN en gestion des programmes </t>
  </si>
  <si>
    <t>2. Mettre en place un Comité Consultatif d’Experts sur les MTN</t>
  </si>
  <si>
    <t>Elaborer les termes de référence du comité</t>
  </si>
  <si>
    <t>Identifier les personnes ressources</t>
  </si>
  <si>
    <t>Formaliser  le comité par un acte juridique</t>
  </si>
  <si>
    <t>Organiser une réunion annuelle du comité consultatif</t>
  </si>
  <si>
    <t>3. Améliorer la collaboration Régionale et Internationale en faveur de lutte contre les MTN)</t>
  </si>
  <si>
    <t xml:space="preserve">Organiser 2 réunions transfrontalières entre la Guinée et ses pays voisins à Conakry </t>
  </si>
  <si>
    <t>1. Améliorer  la visibilité du programme MTN.</t>
  </si>
  <si>
    <t>Elaborer les termes de référence d'un Consultant spécialiste en communication pour l'élaboration d'un plan de communication</t>
  </si>
  <si>
    <t>Réaliser des enquêts CAP auprès des public cibles pour identfifer les problèmes à résoudre par la communication</t>
  </si>
  <si>
    <t>Organiser un atelier d'élaboration du plan de communication en 5 jours pour 25 participants à Kindia</t>
  </si>
  <si>
    <t>Valider et diffuser  le plan National de communication de lutte contre les MTN</t>
  </si>
  <si>
    <t>Organiser annuellement une journée nationale de lutte contre les MTN</t>
  </si>
  <si>
    <t>Créer une page facebook pour le programme MTN</t>
  </si>
  <si>
    <t>2. Intégrer les activités de lutte contre les MTN dans les autres secteurs connexes (enseignement, agriculture, environnement…)</t>
  </si>
  <si>
    <t>Elaborer le module de formation à l'intention des élèves et enseignants du primaire</t>
  </si>
  <si>
    <t>Intégrer dans les curricula de formation des élèves et des enseignants de l'école primaire, l'enseignement sur les mesures de prévention du Trachome, des Schistosmiases, des géo helminthiases, de la Lèpre</t>
  </si>
  <si>
    <t>Collaborer avec les services de l'UNICEF en charge du WASH pour la construction et l'utilisation des latrines</t>
  </si>
  <si>
    <t>1. Elaborer le plan de suivi-Evaluation de la lutte contre les MTN</t>
  </si>
  <si>
    <t>2. Améliorer les performances du personnel au niveau national et périphérique sur le suivi-évaluation des activités et de surveillance</t>
  </si>
  <si>
    <t>Organiser 1 atelier de révision des outils de collecte et d’analyse des données de 2 jours pour 25 participants à Mamou</t>
  </si>
  <si>
    <t>3.Réaliser les activités d’évaluation entomo-épidémiologique des MTN dans les DS endémiques</t>
  </si>
  <si>
    <t>Rédiger le protocole de l'enquête en fonction du standard de l'OMS</t>
  </si>
  <si>
    <t>Former annuellement 24 techniciens pendant 07 jours à la méthode OV15</t>
  </si>
  <si>
    <t>Former/Recycler annuellement 24 techniciens entomologistes pendant 10jours</t>
  </si>
  <si>
    <t xml:space="preserve">Procéder annuellement à des études entomologiques d'impact au niveau de 12 points de surveillance </t>
  </si>
  <si>
    <t>Identifier les sites sentinelles schisto/ géo-helminthiases dans les 31 districts endémiques</t>
  </si>
  <si>
    <t xml:space="preserve">Procéder à une  enquête d'évaluation après deux ans de traitement au Praziquantel </t>
  </si>
  <si>
    <t xml:space="preserve">Former/Recycler annuellement 12 enquêteurs pendant 05 jours pour  la mise en œuvre de l'enquête d'impact </t>
  </si>
  <si>
    <t>Procéder à une enquête d'impact dans 14 DS ( Kérouané, Mamou, Pita, Mali, Boké, Boffa, Forécariah, Télimélé, Faranah, Kissidougou, Kouroussa, Dabola, Fria et Dinguiraye) pour 20 villages par DS et 02 jours par village</t>
  </si>
  <si>
    <t>Former/Recycler les agents de santé des 04  sites de surveillance de la THA (Pita, Kankan, Gueckedou et N'Zérékoré) pendant 03 jours par site</t>
  </si>
  <si>
    <t>Organiser deux fois par an la supervision des équipes chargé de la surveillance de la THA es pendant 02 jours par site de surveillance</t>
  </si>
  <si>
    <t>Former/Récycler 20 agents de santé par DS endémiques pendant 05 jours dans les 04 DS endémiques  sur le dépistage passif de la THA</t>
  </si>
  <si>
    <t>Organiser une campagne de dépistage actif de la THA de 15 jours  par an dans 04 DS endémiques</t>
  </si>
  <si>
    <t>Former 40 agents de santé des 04 DS endémiques pour la réalisation des enquêtes entomologiques pendant  03 jours</t>
  </si>
  <si>
    <t>Organiser annuellement 03 enquêtes entomologiques de 15 jours par DS endémique à la THA</t>
  </si>
  <si>
    <t xml:space="preserve">Former/Recycler 08 techniciens de laboratoire pendant 03 jours à Koundara pour l'enquête de microfilarémie </t>
  </si>
  <si>
    <t>Faire le Pré-TAS dans 03 DS endémiques à la LF ( Dabola, Dinguiraye et Koundara) en 2018</t>
  </si>
  <si>
    <t>Réaliser les enquêtes TAS dans 03 DS endémiques à la LF ( Dabola, Dinguiraye et Koundara) en 2019</t>
  </si>
  <si>
    <t>Former/Recycler 80 agents de santé par DS endémiques pendant 05 jours dans les 04 DS endémiques  sur le dépistage passif de la THA</t>
  </si>
  <si>
    <t>Former/Recycler  23 agents de santé sur l'utilisation des supports de données pour l'UB pendant 03 jours une fois par an à N'Zérékoré</t>
  </si>
  <si>
    <t>4. Assurer le suivi de la mise en œuvre des interventions de lutte contre les MTN</t>
  </si>
  <si>
    <t>Réaliser 4 missions de supervision par an du niveau central par une équipe de 04 personnes pendant 02 semaines au niveau des sites d'évaluation entomo-épidémiologique</t>
  </si>
  <si>
    <t>Réaliser annuellement 16 missions de supervision du niveau régional d'une personne pendant 15 jours pour les MTN à PCC</t>
  </si>
  <si>
    <t>Réaliser 38 missions de supervision du niveau préfectoral de 02 personnes 4 fois par an pendant 15 jours pour les MTN à PCC</t>
  </si>
  <si>
    <t>5. Réaliser l’évaluation de la mise en œuvre du plan directeur de lutte contre les MTN</t>
  </si>
  <si>
    <t>Faire une évaluation à mi-parcours du plan stratégique MTN en 2020</t>
  </si>
  <si>
    <t>Faire une évaluation du plan stratégique MTN en 2022</t>
  </si>
  <si>
    <t>1.Créer une unité intégrée de recherche opérationnelle au sein du programme MTN</t>
  </si>
  <si>
    <t>Elaborer le document portant création d'une unité de recherche au sein du programme MTN</t>
  </si>
  <si>
    <t>Doter l'unité d'un épidémiologiste (chef d'unité), d'un biostatisticien, d'un socio-anthropologue, d'un entomologiste et d'un assistant</t>
  </si>
  <si>
    <t>2. Organiser des recherches opérationnelles</t>
  </si>
  <si>
    <t>Former 10 personnes du programme MTN à la recherche opérationnelle pendant 14 jours à Kindia</t>
  </si>
  <si>
    <t xml:space="preserve">Identifier les problèmes de recherche et élaborer des protocoles </t>
  </si>
  <si>
    <t>Développer au moins 13 recherches opérationnelles pendant les 5 ans</t>
  </si>
  <si>
    <t>3. Renforcer la collaboration inter-sectorielle dans le domaine de la recherche</t>
  </si>
  <si>
    <t>Mettre en place un cadre de collaboration avec les institutions identifiées</t>
  </si>
  <si>
    <t>1. Renforcer les capacités des acteurs à la surveillance et à la prise en charge des effets secondaires</t>
  </si>
  <si>
    <t>Activité dejà prise en compte par la rubrique renforcement de capacité(PS1)</t>
  </si>
  <si>
    <t>2. Assurer la prise en charge des effets secondaires</t>
  </si>
  <si>
    <t>Doter les centres de santé en médicaments essentiels pour la prise en charge des effets secondaires</t>
  </si>
  <si>
    <t>3. Lutter contre les fraudes</t>
  </si>
  <si>
    <t>Assurer un suivi assidu de la logistique des médicaments : Réception, stockage, transport et distribution</t>
  </si>
  <si>
    <t>Auditer le circuit d'approvisionnement en médicaments à tous les niveaux une fois par an</t>
  </si>
  <si>
    <t>4. Assurer la qualité de conservation et d'utilisation des réactifs</t>
  </si>
  <si>
    <t>Former le personnel à l'utilisation des réactifs</t>
  </si>
  <si>
    <t>Coordonnateur PNLOC/MTN</t>
  </si>
  <si>
    <t>Coordonnateur PUB</t>
  </si>
  <si>
    <t>Coordonnateur THA</t>
  </si>
  <si>
    <t>Coordonnateur Lèpre et MTN/CTP</t>
  </si>
  <si>
    <t>Coordonnateurs PUB et Lèpre</t>
  </si>
  <si>
    <t>Coordonnateur Lèpre</t>
  </si>
  <si>
    <t>Ministère de la Santé</t>
  </si>
  <si>
    <t>Partenaires</t>
  </si>
  <si>
    <t>DAAF Ministère de la Santé</t>
  </si>
  <si>
    <t>Ministère de la Santé et Partenaires</t>
  </si>
  <si>
    <t>Inspecteur du Ministère de la Santé</t>
  </si>
  <si>
    <t xml:space="preserve">Coordonnateurs  PNLOC/MTN,PUB,Lèpre, THA </t>
  </si>
  <si>
    <t>Coordonnateurs  PNLOC/MTN,PUB,Lèpre, THA et Partenaires</t>
  </si>
  <si>
    <t>Coordonnateurs  PNLOC/MTN,PUB,Lèpre et THA</t>
  </si>
  <si>
    <t>Coordonnateur Lèpre et PUB</t>
  </si>
  <si>
    <t xml:space="preserve">Coordonnateurs  PNLOC/MTN et THA </t>
  </si>
  <si>
    <t xml:space="preserve">Coordonnateurs  PNLOC/MTN, THA,PUB et Lèpre </t>
  </si>
  <si>
    <t xml:space="preserve">Coordonnateurs  PNLOC/MTN,PUB,Lèpre, THA et Partenaires </t>
  </si>
  <si>
    <t>Valider et diffuser  le plan de suivi-Evaluation de  la lutte contre les MTN</t>
  </si>
  <si>
    <t xml:space="preserve">Coordonnateurs  PNLOC/MTN,PUB,Lèpre et THA </t>
  </si>
  <si>
    <t xml:space="preserve">Coordonnateur  PNLOC/MTN </t>
  </si>
  <si>
    <t xml:space="preserve">Coordonnateur  PNLOC/MTN et THA </t>
  </si>
  <si>
    <t xml:space="preserve">Coordonnateur  THA </t>
  </si>
  <si>
    <t xml:space="preserve">Coordonnateurs PNLOC/MTN et  THA </t>
  </si>
  <si>
    <t xml:space="preserve">Coordonnateur PNLOC/MTN </t>
  </si>
  <si>
    <t xml:space="preserve">Coordonnateur THA </t>
  </si>
  <si>
    <t xml:space="preserve">Coordonnateur PNLOC/MTN et THA </t>
  </si>
  <si>
    <t xml:space="preserve">Coordonnateur PUB, Lèpre et THA </t>
  </si>
  <si>
    <t xml:space="preserve">Coordonnateurs PUB, Lèpre,PNLOC/MTN et THA </t>
  </si>
  <si>
    <t xml:space="preserve">Coordonnateur PNLOC/MTN et Partenaires </t>
  </si>
  <si>
    <t>Faire adopter et valider le plan de plaidoyer</t>
  </si>
  <si>
    <t xml:space="preserve"> financières </t>
  </si>
  <si>
    <t xml:space="preserve">Humaines </t>
  </si>
  <si>
    <t>Humaines</t>
  </si>
  <si>
    <t xml:space="preserve">Humaines et financières </t>
  </si>
  <si>
    <t xml:space="preserve"> matérielles et financières </t>
  </si>
  <si>
    <t xml:space="preserve"> matérielles  </t>
  </si>
  <si>
    <t>Location  véhicules, salle, carburant, perdiem, fournitures de bureau</t>
  </si>
  <si>
    <t>Location  véhicules, carburant, perdiem, fournitures de bureau</t>
  </si>
  <si>
    <t>Location  véhicules, carburant, perdiem, communiqué radio- Télévision, Tee-shirt et outils IEC</t>
  </si>
  <si>
    <t>Location  véhicules, carburant, perdiem, collation</t>
  </si>
  <si>
    <t>Location  véhicules sonnorisés, carburant, communiqué radio, Tee-shirt et outils IEC</t>
  </si>
  <si>
    <t>carburant, perdiem, tee-shirt et outils IEC</t>
  </si>
  <si>
    <t>Location  véhicules, carburant, perdiem, fiches de supervision</t>
  </si>
  <si>
    <t xml:space="preserve"> carburant, perdiem, fiches de supervision</t>
  </si>
  <si>
    <t>Location  véhicules, carburant, perdiem, fiches de monitorage, smartphone</t>
  </si>
  <si>
    <t>Location  véhicules, carburant, perdiem, smartphone</t>
  </si>
  <si>
    <t>Location salle,  véhicules, carburant, perdiem, collation</t>
  </si>
  <si>
    <t>Location salle,  véhicules, carburant, perdiem, modules de formation, collation</t>
  </si>
  <si>
    <t xml:space="preserve">  véhicules, carburant, perdiem, fiches de dépistage</t>
  </si>
  <si>
    <t xml:space="preserve">    perdiem, transport</t>
  </si>
  <si>
    <t>Location salle,  véhicules, carburant, perdiem, modules de formation, collation, fournitures de bureau</t>
  </si>
  <si>
    <t>Location véhicule,carburant, perdiem</t>
  </si>
  <si>
    <t xml:space="preserve">carburant, perdiem, </t>
  </si>
  <si>
    <t>carburant, perdiem</t>
  </si>
  <si>
    <t>carburant, perdiem et kits</t>
  </si>
  <si>
    <t xml:space="preserve">carburant, perdiem </t>
  </si>
  <si>
    <t xml:space="preserve">carburant, perdiem et kits </t>
  </si>
  <si>
    <t>assistance financière</t>
  </si>
  <si>
    <t xml:space="preserve">carburant, perdiem,communiqué radio, materiels IEC </t>
  </si>
  <si>
    <t>location véhicule, carburant, perdiem</t>
  </si>
  <si>
    <t>PM</t>
  </si>
  <si>
    <t>carburant, perdiem, communiqué radio</t>
  </si>
  <si>
    <t>carburant, perdiem, fiche de collecte</t>
  </si>
  <si>
    <t>carburant, perdiem, materiels de laboratoire</t>
  </si>
  <si>
    <t>carburant, perdiem, materiels de curage</t>
  </si>
  <si>
    <t>carburant, perdiem, fournitures de bureau</t>
  </si>
  <si>
    <t>rames de papiers et encre</t>
  </si>
  <si>
    <t>frais d'impression</t>
  </si>
  <si>
    <t>location salle, pause café</t>
  </si>
  <si>
    <t>caburant, perdiem</t>
  </si>
  <si>
    <t>avis d'appel d'offres, honnoraires consultant</t>
  </si>
  <si>
    <t>carburant, perdiem, location salle, pause café</t>
  </si>
  <si>
    <t xml:space="preserve"> location salle, pause café</t>
  </si>
  <si>
    <t xml:space="preserve"> PM</t>
  </si>
  <si>
    <t>perdiem, carburant,location salle, pause café</t>
  </si>
  <si>
    <t>pause café, location salle</t>
  </si>
  <si>
    <t>Population cible pour la lèpre</t>
  </si>
  <si>
    <t>Population cible pour THA</t>
  </si>
  <si>
    <t>THA</t>
  </si>
  <si>
    <t>Lèpre</t>
  </si>
  <si>
    <t>Former/Recycler 820 agents en 30 sessions de 05 jours sur le diagnostic et la prise en charge des complications de la Lèpre et de l'UB, une fois par an.</t>
  </si>
  <si>
    <t>Former/Recycler 20 agents de santé par DS pendant 07 jours dans les 04 districts endémiques à la THA (Dubreka, Forécariah, Boffa et Boké) une fois par an.</t>
  </si>
  <si>
    <t xml:space="preserve">Approvisionner les quatres centre de PEC en denrée alimentaire </t>
  </si>
  <si>
    <t xml:space="preserve">Denrées alimentaires, </t>
  </si>
  <si>
    <t xml:space="preserve"> Carburant, location véhicule, perdiem</t>
  </si>
  <si>
    <t>Réaliser chaque année  deux campagnes de dépistage actif dans 01 district endémique par région naturelle</t>
  </si>
  <si>
    <t>Coordonnateur THA, lèpre et PUB</t>
  </si>
  <si>
    <t>Achat de ME pour le traitement des affections concomittantes</t>
  </si>
  <si>
    <t xml:space="preserve">financières </t>
  </si>
  <si>
    <t xml:space="preserve">Humaines, matérielles </t>
  </si>
  <si>
    <t>Bons de commande et livraison…</t>
  </si>
  <si>
    <t xml:space="preserve">carburant, perdiem péripherique </t>
  </si>
  <si>
    <t>carburant, perdiem  centrale</t>
  </si>
  <si>
    <t>Assurer le traitement des cas deTHA dans 3 centres spécialisés de PEC (Dubreka,Boffa et Forécariah) pendant 30j/5 agents</t>
  </si>
  <si>
    <t>Coordonnateurs PUB , Lèpre</t>
  </si>
  <si>
    <t>Population cible pour LF</t>
  </si>
  <si>
    <t>Location magasin et véhicules pour le transport des médicaments</t>
  </si>
  <si>
    <t>Former/Recycler 35 superviseurs nationaux à Kindia pendant 4 jours</t>
  </si>
  <si>
    <t>Former/Recycler 4658 leaders communautaires pendant 02 jours/ans</t>
  </si>
  <si>
    <t>Former/Recycler 12450 distributeurs communautaires en 02 jours/ans</t>
  </si>
  <si>
    <t>Former/Recycler 824 superviseurs de proximité ( chefs de centre de santé et suppléants) en 02 jours/ans</t>
  </si>
  <si>
    <t>Former/Recycler 96 formateurs  dans les chefs lieux des 08 régions en 02 jours/ans</t>
  </si>
  <si>
    <t>Organiser une évaluation épidémiologique annuelle de 80 villages sentinelles pendant 23 jours</t>
  </si>
  <si>
    <t xml:space="preserve">Réaliser les enquêtes Pré-TAS dans 06 DS endémiques à la LF ( Dalaba, Pita, Kouroussa, Mandiana, Boké et Gaoual) en 2019 </t>
  </si>
  <si>
    <t>Réaliser les enquêtes Pré-TAS dans 14 DS endémiques à la LF ( Mamou, Faranah, Kissidougou, Mali, Kankan, Tougué,Kérouané, Kindia, Siguiri, Lelouma, Beyla, Guéckedou,  Forécariah et Télimélé) en 2020</t>
  </si>
  <si>
    <t>Réaliser les enquêtes TAS dans 12 DS endémiques à la LF ( Dalaba, Pita, Kouroussa, Mandiana, Boké, Gaoual, Mamou, Faranah,Kissidougou, Mali, Kankan,Tougué) en 2020</t>
  </si>
  <si>
    <t>Réaliser les enquêtes TAS dans 09 DS endémiques à la LF( Siguir, Kérouané, Lelouma, Beyla, Macenta, Gueckedou, Kindia, Forecariah et Télimélé)  en 2021</t>
  </si>
  <si>
    <t>Réaliser annuellement 14 missions de supervision du niveau central de 3 personnes pendant 45 jours pour les MTN à CTP</t>
  </si>
  <si>
    <t xml:space="preserve">Opérer annuellement 1000 cas de Cataracte en stratégie mobile et dans les centres spécialisés du pays </t>
  </si>
  <si>
    <t>Assurer le prelevement des cas suspects passivement detectés dans 3 districts endémiques et sous surveillance de la THA pour la confirmation 5 agents pendant 7j</t>
  </si>
  <si>
    <t>Former 5 membres du programme et 02 de la Direction en gestion logistique et financière pendant 05 jours</t>
  </si>
  <si>
    <t>Former 10 membres du programme et 03 de la Direction en management de programme pendant 05 jours</t>
  </si>
  <si>
    <t>Faire participer 5 personnes du Programme et 01 personne de la Direction et 01 du Ministere MTN/Guinée à 3 réunions transfrontalières organisées dans les pays voisins durant les 5ans.</t>
  </si>
  <si>
    <t xml:space="preserve">Coordonnateurs  PNLOC/MTN Lèpre, </t>
  </si>
  <si>
    <t>Coordonnateurs  PNLOC/MTN,PUB,Lèpre , THA et Partenaires</t>
  </si>
  <si>
    <t>Reproduire le plan validé en 300 exemplaires pour la diffusion aux acteurs</t>
  </si>
  <si>
    <t>Actualiser auprès des Ministères de l'Administration du Territoire, de la Coopération, de l'Industrie, de l'Agence des Investissements Privés et Publics, la liste des partenaires, entreprises, sociétés évoluant en Guinée</t>
  </si>
  <si>
    <t>Actualiser auprès de la DNSCMT le document de cartographie des intervenants en Santé Communautaire</t>
  </si>
  <si>
    <t>Faire participer 1 personne du Programme MTN/Guinée et 1 cadre de la Direction par réunion annuelle statutaire internationale sur La Lèpre, la THA, la Filariose lymphatique, le Trachome organisées dans les pays voisins durant les 5ans.</t>
  </si>
  <si>
    <t>Elaborer un document d'IEC à l'intention des services de l'Agriculture, de l'Elevage et de l'Environnement dans le cadre de la prevention individuelle et collective du Trachome, des Schistosomiases/Géo helminthiases et de la THA</t>
  </si>
  <si>
    <t>Impliquer les agents des services d'Agriculture, d'Elevage  et de l'Environnement dans la sensibilisation sur l'hygène et l'assainissement du milieu</t>
  </si>
  <si>
    <t>Perdiem</t>
  </si>
  <si>
    <t>Priorité Stratégique</t>
  </si>
  <si>
    <t>Objectifs Stratégiques</t>
  </si>
  <si>
    <t>carburant</t>
  </si>
  <si>
    <t>perdièm</t>
  </si>
  <si>
    <t>perdiem, carburant</t>
  </si>
  <si>
    <t>perdiem, carburant,location et matériels</t>
  </si>
  <si>
    <t>perdièm , carburant</t>
  </si>
  <si>
    <t>perdièm , carburant , fiches</t>
  </si>
  <si>
    <t xml:space="preserve">perdiem, </t>
  </si>
  <si>
    <t>Administration massive des médicaments</t>
  </si>
  <si>
    <t>Achats de médicaments (PC)</t>
  </si>
  <si>
    <t>Achats de médicaments (CM)</t>
  </si>
  <si>
    <t>Gestion des cas , morbidité et prévention des invalidités</t>
  </si>
  <si>
    <t>mesures vectoriels et environnemental</t>
  </si>
  <si>
    <t>Renforcement des capacités du niveau central</t>
  </si>
  <si>
    <t>Integration &amp; Liens de plans  &amp; Budgets</t>
  </si>
  <si>
    <t>Renforcer  &amp; Favoriser le  Partenariat</t>
  </si>
  <si>
    <t>Réunion d'examen de Haut niveau</t>
  </si>
  <si>
    <t xml:space="preserve">Plaidoyer and Communication </t>
  </si>
  <si>
    <t>Surveillance de la maladie, réponse et contrôle</t>
  </si>
  <si>
    <t xml:space="preserve"> </t>
  </si>
  <si>
    <t>N°</t>
  </si>
  <si>
    <t>Priorités Stratégiques</t>
  </si>
  <si>
    <t>Mettre à l’échelle l’accès aux interventions, au traitement et aux capacités de prestation de services des programmes MTN </t>
  </si>
  <si>
    <t>Renforcer la planification pour la mobilisation des ressources, la viabilité financière des programmes et les résultats ;</t>
  </si>
  <si>
    <t>Renforcer le plaidoyer, la coordination et les partenariats, l’appropriation des programmes MTN par le gouvernement et les communautés </t>
  </si>
  <si>
    <t>Renforcer le suivi, l’évaluation, la surveillance et la recherche opérationnelle des programmes MTN.</t>
  </si>
  <si>
    <t>BUDGET TOTAL</t>
  </si>
  <si>
    <t>Montants</t>
  </si>
  <si>
    <t>USD</t>
  </si>
  <si>
    <t>Organiser 34 missions de formation  à l’élaboration des micro -plans des Districts sanitaires de 4 jours par 1 personne.</t>
  </si>
  <si>
    <t xml:space="preserve">Organiser des voyages d'étude sur la gestion des programmes  MTN </t>
  </si>
  <si>
    <t>Elaborer un TDR  de renforcement de la collaboration inter- sectorielle dans le domaine de la  recherche</t>
  </si>
  <si>
    <t>Sensibiliser  sur les  effets secondaires potentiels après prise de médicaments  à travers les  radios communautaires</t>
  </si>
  <si>
    <t>Doter le programme MTN en équipements de chaine de froid</t>
  </si>
  <si>
    <t>Organiser un atelier d'élaboration du plan de suivi-évaluation en 5 jours pour 20 participants à Kindia</t>
  </si>
  <si>
    <t>perdièm , transport</t>
  </si>
  <si>
    <t xml:space="preserve">Former 412 CCS, 46 MCM et 46 chargés de statistiques à l'utilisation des outils de collecte des données en 38 sessions de 5 jours  </t>
  </si>
  <si>
    <t>Former 20 opérateurs de trichiasis à la méthode OMS de Head Start avec opération de 200 cas de trichiasis</t>
  </si>
  <si>
    <t>Former 8 examinateurs et 8 opérateurs de saisie pour les enqu^tes trachome selon la méthode de Tropical Data</t>
  </si>
  <si>
    <t>Former 300 enseignants du primaire au dépistage des vices de réfraction dans les écoles du primaire</t>
  </si>
  <si>
    <t>Prise en charge 1000 élèves du primaire dépistés avec vices de réfraction</t>
  </si>
  <si>
    <t>Opérer 200 cas de complication oculaire de EBOLA</t>
  </si>
  <si>
    <t>Organiser un 'atelier d'élaboration du plan Vision2020 de santé oculaire</t>
  </si>
  <si>
    <t>Evaluer les services d'ophtalmologie de Kankan, N'Zérékoré, Siguiri, Macenta, Faranah, Boké, Kindia, Mamou</t>
  </si>
  <si>
    <t>Réaliser l'Evaluation finale du projet SF1686/403-A1GUI dans les régions de kankan , Faranah et N'Zérékooré</t>
  </si>
  <si>
    <t>3.Réaliser les activités d’évaluation des services ophtalmologiques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</si>
</sst>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 #,##0_-;_-* &quot;-&quot;??_-;_-@_-"/>
    <numFmt numFmtId="165" formatCode="_-* #,##0_-;\-* #,##0_-;_-* &quot;-&quot;_-;_-@_-"/>
    <numFmt numFmtId="166" formatCode="_-* #,##0.00_-;\-* #,##0.00_-;_-* &quot;-&quot;??_-;_-@_-"/>
    <numFmt numFmtId="167" formatCode="&quot;$&quot;#,##0.00_);[Red]\(&quot;$&quot;#,##0.00\)"/>
    <numFmt numFmtId="168" formatCode="0_);[Red]\(0\)"/>
    <numFmt numFmtId="169" formatCode="_-* #,##0\ _€_-;\-* #,##0\ _€_-;_-* &quot;-&quot;??\ _€_-;_-@_-"/>
  </numFmts>
  <fonts count="79">
    <font>
      <sz val="10"/>
      <name val="Arial"/>
      <family val="2"/>
    </font>
    <font>
      <sz val="12"/>
      <name val="Calibri"/>
      <family val="2"/>
    </font>
    <font>
      <b/>
      <sz val="10"/>
      <name val="Calibri"/>
      <family val="2"/>
    </font>
    <font>
      <sz val="9"/>
      <name val="Calibri"/>
      <family val="2"/>
    </font>
    <font>
      <i/>
      <sz val="12"/>
      <name val="Calibri"/>
      <family val="2"/>
    </font>
    <font>
      <sz val="10"/>
      <name val="Calibri"/>
      <family val="2"/>
    </font>
    <font>
      <sz val="11"/>
      <name val="Calibri"/>
      <family val="2"/>
    </font>
    <font>
      <b/>
      <sz val="9"/>
      <name val="Calibri"/>
      <family val="2"/>
    </font>
    <font>
      <b/>
      <sz val="9"/>
      <color rgb="FF000000"/>
      <name val="Arial"/>
      <family val="2"/>
    </font>
    <font>
      <b/>
      <sz val="10"/>
      <color rgb="FF000000"/>
      <name val="Arial"/>
      <family val="2"/>
    </font>
    <font>
      <sz val="10"/>
      <color rgb="FF000000"/>
      <name val="Arial"/>
      <family val="2"/>
    </font>
    <font>
      <b/>
      <i/>
      <sz val="10"/>
      <color rgb="FF000000"/>
      <name val="Arial"/>
      <family val="2"/>
    </font>
    <font>
      <b/>
      <sz val="16"/>
      <name val="Calibri"/>
      <family val="2"/>
    </font>
    <font>
      <b/>
      <u/>
      <sz val="14"/>
      <name val="Calibri"/>
      <family val="2"/>
    </font>
    <font>
      <sz val="14"/>
      <name val="Calibri"/>
      <family val="2"/>
    </font>
    <font>
      <b/>
      <sz val="14"/>
      <name val="Calibri"/>
      <family val="2"/>
    </font>
    <font>
      <b/>
      <sz val="16"/>
      <name val="Arial"/>
      <family val="2"/>
    </font>
    <font>
      <sz val="11"/>
      <name val="Arial"/>
      <family val="2"/>
    </font>
    <font>
      <sz val="12"/>
      <name val="Arial"/>
      <family val="2"/>
    </font>
    <font>
      <b/>
      <u/>
      <sz val="14"/>
      <name val="Arial"/>
      <family val="2"/>
    </font>
    <font>
      <sz val="14"/>
      <name val="Arial"/>
      <family val="2"/>
    </font>
    <font>
      <sz val="10"/>
      <color indexed="55"/>
      <name val="Calibri"/>
      <family val="2"/>
    </font>
    <font>
      <b/>
      <sz val="11"/>
      <name val="Calibri"/>
      <family val="2"/>
    </font>
    <font>
      <b/>
      <sz val="12"/>
      <name val="Calibri"/>
      <family val="2"/>
    </font>
    <font>
      <b/>
      <sz val="12"/>
      <color indexed="10"/>
      <name val="Calibri"/>
      <family val="2"/>
    </font>
    <font>
      <b/>
      <sz val="10"/>
      <color indexed="8"/>
      <name val="Arial"/>
      <family val="2"/>
    </font>
    <font>
      <b/>
      <sz val="10"/>
      <color rgb="FFFF0000"/>
      <name val="Arial"/>
      <family val="2"/>
    </font>
    <font>
      <sz val="9"/>
      <color indexed="10"/>
      <name val="Calibri"/>
      <family val="2"/>
    </font>
    <font>
      <b/>
      <sz val="9"/>
      <color indexed="55"/>
      <name val="Calibri"/>
      <family val="2"/>
    </font>
    <font>
      <sz val="11"/>
      <color indexed="55"/>
      <name val="Calibri"/>
      <family val="2"/>
    </font>
    <font>
      <sz val="9"/>
      <name val="Arial"/>
      <family val="2"/>
    </font>
    <font>
      <b/>
      <sz val="9"/>
      <color rgb="FFFF0000"/>
      <name val="Calibri"/>
      <family val="2"/>
    </font>
    <font>
      <sz val="9"/>
      <color indexed="8"/>
      <name val="Calibri"/>
      <family val="2"/>
    </font>
    <font>
      <sz val="9"/>
      <color theme="0" tint="-0.34998626667073579"/>
      <name val="Calibri"/>
      <family val="2"/>
    </font>
    <font>
      <sz val="12"/>
      <color theme="0" tint="-0.34998626667073579"/>
      <name val="Calibri"/>
      <family val="2"/>
    </font>
    <font>
      <b/>
      <sz val="9"/>
      <color indexed="9"/>
      <name val="Calibri"/>
      <family val="2"/>
    </font>
    <font>
      <b/>
      <u/>
      <sz val="10"/>
      <name val="Calibri"/>
      <family val="2"/>
    </font>
    <font>
      <b/>
      <sz val="11"/>
      <color indexed="10"/>
      <name val="Calibri"/>
      <family val="2"/>
    </font>
    <font>
      <b/>
      <sz val="22"/>
      <name val="Calibri"/>
      <family val="2"/>
    </font>
    <font>
      <b/>
      <sz val="12"/>
      <color theme="8" tint="-0.249977111117893"/>
      <name val="Calibri"/>
      <family val="2"/>
    </font>
    <font>
      <b/>
      <sz val="9"/>
      <color theme="3" tint="0.39994506668294322"/>
      <name val="Calibri"/>
      <family val="2"/>
    </font>
    <font>
      <b/>
      <sz val="9"/>
      <color theme="5" tint="0.39994506668294322"/>
      <name val="Calibri"/>
      <family val="2"/>
    </font>
    <font>
      <b/>
      <u/>
      <sz val="9"/>
      <name val="Calibri"/>
      <family val="2"/>
    </font>
    <font>
      <sz val="11"/>
      <color indexed="8"/>
      <name val="ＭＳ Ｐゴシック"/>
      <family val="3"/>
      <charset val="128"/>
    </font>
    <font>
      <b/>
      <sz val="15"/>
      <color indexed="56"/>
      <name val="ＭＳ Ｐゴシック"/>
      <family val="3"/>
      <charset val="128"/>
    </font>
    <font>
      <sz val="11"/>
      <color indexed="9"/>
      <name val="ＭＳ Ｐゴシック"/>
      <family val="3"/>
      <charset val="128"/>
    </font>
    <font>
      <sz val="11"/>
      <color indexed="52"/>
      <name val="ＭＳ Ｐゴシック"/>
      <family val="3"/>
      <charset val="128"/>
    </font>
    <font>
      <sz val="11"/>
      <color indexed="17"/>
      <name val="ＭＳ Ｐゴシック"/>
      <family val="3"/>
      <charset val="128"/>
    </font>
    <font>
      <sz val="11"/>
      <color indexed="20"/>
      <name val="ＭＳ Ｐゴシック"/>
      <family val="3"/>
      <charset val="128"/>
    </font>
    <font>
      <b/>
      <sz val="11"/>
      <color indexed="56"/>
      <name val="ＭＳ Ｐゴシック"/>
      <family val="3"/>
      <charset val="128"/>
    </font>
    <font>
      <sz val="11"/>
      <color indexed="10"/>
      <name val="ＭＳ Ｐゴシック"/>
      <family val="3"/>
      <charset val="128"/>
    </font>
    <font>
      <sz val="11"/>
      <color indexed="8"/>
      <name val="Calibri"/>
      <family val="2"/>
    </font>
    <font>
      <i/>
      <sz val="11"/>
      <color indexed="23"/>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2"/>
      <name val="ＭＳ Ｐゴシック"/>
      <family val="3"/>
      <charset val="128"/>
    </font>
    <font>
      <b/>
      <sz val="11"/>
      <color indexed="9"/>
      <name val="ＭＳ Ｐゴシック"/>
      <family val="3"/>
      <charset val="128"/>
    </font>
    <font>
      <b/>
      <sz val="13"/>
      <color indexed="56"/>
      <name val="ＭＳ Ｐゴシック"/>
      <family val="3"/>
      <charset val="128"/>
    </font>
    <font>
      <sz val="11"/>
      <color indexed="60"/>
      <name val="ＭＳ Ｐゴシック"/>
      <family val="3"/>
      <charset val="128"/>
    </font>
    <font>
      <b/>
      <sz val="11"/>
      <color indexed="63"/>
      <name val="ＭＳ Ｐゴシック"/>
      <family val="3"/>
      <charset val="128"/>
    </font>
    <font>
      <b/>
      <sz val="11"/>
      <color indexed="52"/>
      <name val="ＭＳ Ｐゴシック"/>
      <family val="3"/>
      <charset val="128"/>
    </font>
    <font>
      <sz val="10"/>
      <name val="Arial"/>
      <family val="2"/>
    </font>
    <font>
      <sz val="10"/>
      <name val="Tahoma"/>
      <family val="2"/>
    </font>
    <font>
      <b/>
      <sz val="8"/>
      <name val="Tahoma"/>
      <family val="2"/>
    </font>
    <font>
      <sz val="8"/>
      <name val="Calibri"/>
      <family val="2"/>
    </font>
    <font>
      <sz val="8"/>
      <color indexed="8"/>
      <name val="Calibri"/>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4"/>
      <name val="Arial"/>
      <family val="2"/>
    </font>
    <font>
      <b/>
      <sz val="10"/>
      <name val="Arial"/>
      <family val="2"/>
    </font>
    <font>
      <b/>
      <sz val="12"/>
      <name val="Arial"/>
      <family val="2"/>
    </font>
    <font>
      <sz val="9"/>
      <color indexed="81"/>
      <name val="Tahoma"/>
      <charset val="1"/>
    </font>
    <font>
      <b/>
      <sz val="9"/>
      <color indexed="81"/>
      <name val="Tahoma"/>
      <charset val="1"/>
    </font>
    <font>
      <sz val="9"/>
      <color theme="1"/>
      <name val="Calibri"/>
      <family val="2"/>
      <scheme val="minor"/>
    </font>
    <font>
      <sz val="9"/>
      <color indexed="8"/>
      <name val="Calibri"/>
      <family val="2"/>
      <scheme val="minor"/>
    </font>
    <font>
      <sz val="9"/>
      <name val="Calibri"/>
      <family val="2"/>
      <scheme val="minor"/>
    </font>
    <font>
      <sz val="8"/>
      <name val="Arial"/>
      <family val="2"/>
    </font>
  </fonts>
  <fills count="37">
    <fill>
      <patternFill patternType="none"/>
    </fill>
    <fill>
      <patternFill patternType="gray125"/>
    </fill>
    <fill>
      <patternFill patternType="solid">
        <fgColor theme="9" tint="0.79995117038483843"/>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theme="9" tint="-0.249977111117893"/>
        <bgColor indexed="64"/>
      </patternFill>
    </fill>
    <fill>
      <patternFill patternType="solid">
        <fgColor theme="9" tint="0.39994506668294322"/>
        <bgColor indexed="64"/>
      </patternFill>
    </fill>
    <fill>
      <patternFill patternType="solid">
        <fgColor rgb="FFFFFF00"/>
        <bgColor indexed="64"/>
      </patternFill>
    </fill>
    <fill>
      <patternFill patternType="solid">
        <fgColor indexed="43"/>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F79646"/>
      </left>
      <right style="medium">
        <color rgb="FFF79646"/>
      </right>
      <top style="medium">
        <color rgb="FFF79646"/>
      </top>
      <bottom style="medium">
        <color rgb="FFF79646"/>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right/>
      <top/>
      <bottom style="thick">
        <color indexed="62"/>
      </bottom>
      <diagonal/>
    </border>
    <border>
      <left/>
      <right/>
      <top/>
      <bottom style="double">
        <color indexed="5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style="medium">
        <color indexed="64"/>
      </left>
      <right style="thin">
        <color auto="1"/>
      </right>
      <top/>
      <bottom/>
      <diagonal/>
    </border>
    <border>
      <left style="thin">
        <color auto="1"/>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43" fillId="12" borderId="0" applyNumberFormat="0" applyBorder="0" applyAlignment="0" applyProtection="0">
      <alignment vertical="center"/>
    </xf>
    <xf numFmtId="166" fontId="61" fillId="0" borderId="0" applyFont="0" applyFill="0" applyBorder="0" applyAlignment="0" applyProtection="0"/>
    <xf numFmtId="165" fontId="61" fillId="0" borderId="0" applyFont="0" applyFill="0" applyBorder="0" applyAlignment="0" applyProtection="0"/>
    <xf numFmtId="0" fontId="47" fillId="18" borderId="0" applyNumberFormat="0" applyBorder="0" applyAlignment="0" applyProtection="0">
      <alignment vertical="center"/>
    </xf>
    <xf numFmtId="0" fontId="43" fillId="18" borderId="0" applyNumberFormat="0" applyBorder="0" applyAlignment="0" applyProtection="0">
      <alignment vertical="center"/>
    </xf>
    <xf numFmtId="0" fontId="43" fillId="20" borderId="0" applyNumberFormat="0" applyBorder="0" applyAlignment="0" applyProtection="0">
      <alignment vertical="center"/>
    </xf>
    <xf numFmtId="0" fontId="43" fillId="13" borderId="0" applyNumberFormat="0" applyBorder="0" applyAlignment="0" applyProtection="0">
      <alignment vertical="center"/>
    </xf>
    <xf numFmtId="0" fontId="43" fillId="17" borderId="0" applyNumberFormat="0" applyBorder="0" applyAlignment="0" applyProtection="0">
      <alignment vertical="center"/>
    </xf>
    <xf numFmtId="0" fontId="43" fillId="12" borderId="0" applyNumberFormat="0" applyBorder="0" applyAlignment="0" applyProtection="0">
      <alignment vertical="center"/>
    </xf>
    <xf numFmtId="0" fontId="43" fillId="21" borderId="0" applyNumberFormat="0" applyBorder="0" applyAlignment="0" applyProtection="0">
      <alignment vertical="center"/>
    </xf>
    <xf numFmtId="0" fontId="43" fillId="15" borderId="0" applyNumberFormat="0" applyBorder="0" applyAlignment="0" applyProtection="0">
      <alignment vertical="center"/>
    </xf>
    <xf numFmtId="0" fontId="43" fillId="14" borderId="0" applyNumberFormat="0" applyBorder="0" applyAlignment="0" applyProtection="0">
      <alignment vertical="center"/>
    </xf>
    <xf numFmtId="0" fontId="43" fillId="17" borderId="0" applyNumberFormat="0" applyBorder="0" applyAlignment="0" applyProtection="0">
      <alignment vertical="center"/>
    </xf>
    <xf numFmtId="0" fontId="45" fillId="22" borderId="0" applyNumberFormat="0" applyBorder="0" applyAlignment="0" applyProtection="0">
      <alignment vertical="center"/>
    </xf>
    <xf numFmtId="0" fontId="43" fillId="19" borderId="0" applyNumberFormat="0" applyBorder="0" applyAlignment="0" applyProtection="0">
      <alignment vertical="center"/>
    </xf>
    <xf numFmtId="0" fontId="45" fillId="20" borderId="0" applyNumberFormat="0" applyBorder="0" applyAlignment="0" applyProtection="0">
      <alignment vertical="center"/>
    </xf>
    <xf numFmtId="0" fontId="43" fillId="16" borderId="0" applyNumberFormat="0" applyBorder="0" applyAlignment="0" applyProtection="0">
      <alignment vertical="center"/>
    </xf>
    <xf numFmtId="0" fontId="45" fillId="13" borderId="0" applyNumberFormat="0" applyBorder="0" applyAlignment="0" applyProtection="0">
      <alignment vertical="center"/>
    </xf>
    <xf numFmtId="0" fontId="4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51" fillId="0" borderId="0"/>
    <xf numFmtId="0" fontId="51" fillId="0" borderId="0"/>
    <xf numFmtId="0" fontId="6" fillId="0" borderId="0"/>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5" fillId="23" borderId="0" applyNumberFormat="0" applyBorder="0" applyAlignment="0" applyProtection="0">
      <alignment vertical="center"/>
    </xf>
    <xf numFmtId="0" fontId="45" fillId="24" borderId="0" applyNumberFormat="0" applyBorder="0" applyAlignment="0" applyProtection="0">
      <alignment vertical="center"/>
    </xf>
    <xf numFmtId="0" fontId="45" fillId="29" borderId="0" applyNumberFormat="0" applyBorder="0" applyAlignment="0" applyProtection="0">
      <alignment vertical="center"/>
    </xf>
    <xf numFmtId="0" fontId="54" fillId="0" borderId="0" applyNumberFormat="0" applyFill="0" applyBorder="0" applyAlignment="0" applyProtection="0">
      <alignment vertical="center"/>
    </xf>
    <xf numFmtId="0" fontId="55" fillId="16" borderId="44" applyNumberFormat="0" applyAlignment="0" applyProtection="0">
      <alignment vertical="center"/>
    </xf>
    <xf numFmtId="0" fontId="56" fillId="30" borderId="45" applyNumberFormat="0" applyAlignment="0" applyProtection="0">
      <alignment vertical="center"/>
    </xf>
    <xf numFmtId="0" fontId="58" fillId="31" borderId="0" applyNumberFormat="0" applyBorder="0" applyAlignment="0" applyProtection="0">
      <alignment vertical="center"/>
    </xf>
    <xf numFmtId="0" fontId="61" fillId="32" borderId="47" applyNumberFormat="0" applyFont="0" applyAlignment="0" applyProtection="0">
      <alignment vertical="center"/>
    </xf>
    <xf numFmtId="0" fontId="46" fillId="0" borderId="41" applyNumberFormat="0" applyFill="0" applyAlignment="0" applyProtection="0">
      <alignment vertical="center"/>
    </xf>
    <xf numFmtId="0" fontId="59" fillId="33" borderId="48" applyNumberFormat="0" applyAlignment="0" applyProtection="0">
      <alignment vertical="center"/>
    </xf>
    <xf numFmtId="0" fontId="48" fillId="14" borderId="0" applyNumberFormat="0" applyBorder="0" applyAlignment="0" applyProtection="0">
      <alignment vertical="center"/>
    </xf>
    <xf numFmtId="0" fontId="44" fillId="0" borderId="40" applyNumberFormat="0" applyFill="0" applyAlignment="0" applyProtection="0">
      <alignment vertical="center"/>
    </xf>
    <xf numFmtId="0" fontId="57" fillId="0" borderId="46" applyNumberFormat="0" applyFill="0" applyAlignment="0" applyProtection="0">
      <alignment vertical="center"/>
    </xf>
    <xf numFmtId="0" fontId="49" fillId="0" borderId="42" applyNumberFormat="0" applyFill="0" applyAlignment="0" applyProtection="0">
      <alignment vertical="center"/>
    </xf>
    <xf numFmtId="0" fontId="49" fillId="0" borderId="0" applyNumberFormat="0" applyFill="0" applyBorder="0" applyAlignment="0" applyProtection="0">
      <alignment vertical="center"/>
    </xf>
    <xf numFmtId="0" fontId="60" fillId="33" borderId="44" applyNumberFormat="0" applyAlignment="0" applyProtection="0">
      <alignment vertical="center"/>
    </xf>
    <xf numFmtId="0" fontId="5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3" fillId="0" borderId="43" applyNumberFormat="0" applyFill="0" applyAlignment="0" applyProtection="0">
      <alignment vertical="center"/>
    </xf>
  </cellStyleXfs>
  <cellXfs count="370">
    <xf numFmtId="0" fontId="0" fillId="0" borderId="0" xfId="0"/>
    <xf numFmtId="0" fontId="1" fillId="0" borderId="0" xfId="0" applyFont="1"/>
    <xf numFmtId="0" fontId="2" fillId="2" borderId="1" xfId="0" applyFont="1" applyFill="1" applyBorder="1" applyAlignment="1">
      <alignment horizontal="center" vertical="center"/>
    </xf>
    <xf numFmtId="0" fontId="3" fillId="0" borderId="1" xfId="24" applyFont="1" applyFill="1" applyBorder="1"/>
    <xf numFmtId="0" fontId="3" fillId="0" borderId="1" xfId="0" applyFont="1" applyFill="1" applyBorder="1"/>
    <xf numFmtId="0" fontId="3" fillId="0" borderId="0" xfId="0" applyFont="1"/>
    <xf numFmtId="0" fontId="3" fillId="0" borderId="2" xfId="0" applyFont="1" applyBorder="1"/>
    <xf numFmtId="0" fontId="3" fillId="0" borderId="3" xfId="0" applyFont="1" applyBorder="1"/>
    <xf numFmtId="0" fontId="3" fillId="0" borderId="1" xfId="0" applyFont="1" applyBorder="1"/>
    <xf numFmtId="0" fontId="1" fillId="3" borderId="0" xfId="0" applyFont="1" applyFill="1"/>
    <xf numFmtId="0" fontId="4" fillId="0" borderId="0" xfId="0" applyFont="1" applyAlignment="1">
      <alignment vertical="center"/>
    </xf>
    <xf numFmtId="0" fontId="1" fillId="0" borderId="0" xfId="0" applyFont="1" applyFill="1" applyBorder="1"/>
    <xf numFmtId="0" fontId="3" fillId="3" borderId="0" xfId="0" applyFont="1" applyFill="1"/>
    <xf numFmtId="0" fontId="5" fillId="0" borderId="0" xfId="0" applyFont="1" applyAlignment="1">
      <alignment vertical="center"/>
    </xf>
    <xf numFmtId="0" fontId="6" fillId="0" borderId="0" xfId="0" applyFont="1"/>
    <xf numFmtId="1" fontId="5" fillId="0" borderId="0" xfId="0" applyNumberFormat="1" applyFont="1"/>
    <xf numFmtId="0" fontId="5" fillId="0" borderId="0" xfId="0" applyFont="1"/>
    <xf numFmtId="1" fontId="7" fillId="4" borderId="1" xfId="0" applyNumberFormat="1" applyFont="1" applyFill="1" applyBorder="1" applyAlignment="1">
      <alignment horizontal="center" vertical="center"/>
    </xf>
    <xf numFmtId="1" fontId="7" fillId="4" borderId="7" xfId="0" applyNumberFormat="1" applyFont="1" applyFill="1" applyBorder="1" applyAlignment="1">
      <alignment horizontal="center" vertical="center"/>
    </xf>
    <xf numFmtId="1" fontId="3" fillId="4" borderId="1" xfId="0" applyNumberFormat="1" applyFont="1" applyFill="1" applyBorder="1" applyAlignment="1">
      <alignment horizontal="center"/>
    </xf>
    <xf numFmtId="1" fontId="3" fillId="5" borderId="1" xfId="0" applyNumberFormat="1" applyFont="1" applyFill="1" applyBorder="1" applyProtection="1"/>
    <xf numFmtId="1" fontId="3" fillId="5" borderId="1" xfId="0" applyNumberFormat="1" applyFont="1" applyFill="1" applyBorder="1"/>
    <xf numFmtId="164" fontId="3" fillId="5" borderId="1" xfId="2" applyNumberFormat="1" applyFont="1" applyFill="1" applyBorder="1"/>
    <xf numFmtId="0" fontId="8" fillId="6" borderId="9" xfId="0" applyFont="1" applyFill="1" applyBorder="1" applyAlignment="1">
      <alignment horizontal="center" vertical="center" wrapText="1"/>
    </xf>
    <xf numFmtId="0" fontId="10" fillId="0" borderId="9" xfId="0" applyFont="1" applyBorder="1" applyAlignment="1">
      <alignment vertical="center" wrapText="1"/>
    </xf>
    <xf numFmtId="165" fontId="10" fillId="0" borderId="9" xfId="0" applyNumberFormat="1" applyFont="1" applyBorder="1" applyAlignment="1">
      <alignment horizontal="center" vertical="center" wrapText="1"/>
    </xf>
    <xf numFmtId="3" fontId="10" fillId="0" borderId="9" xfId="0" applyNumberFormat="1" applyFont="1" applyBorder="1" applyAlignment="1">
      <alignment horizontal="right" vertical="center" wrapText="1"/>
    </xf>
    <xf numFmtId="0" fontId="11" fillId="0" borderId="9" xfId="0" applyFont="1" applyBorder="1" applyAlignment="1">
      <alignment vertical="center" wrapText="1"/>
    </xf>
    <xf numFmtId="165" fontId="9" fillId="0" borderId="9" xfId="0" applyNumberFormat="1" applyFont="1" applyBorder="1" applyAlignment="1">
      <alignment horizontal="center" vertical="center" wrapText="1"/>
    </xf>
    <xf numFmtId="165" fontId="10" fillId="0" borderId="9" xfId="0" applyNumberFormat="1" applyFont="1" applyBorder="1" applyAlignment="1">
      <alignment vertical="center" wrapText="1"/>
    </xf>
    <xf numFmtId="3" fontId="10" fillId="0" borderId="9" xfId="0" applyNumberFormat="1" applyFont="1" applyBorder="1" applyAlignment="1">
      <alignment vertical="center" wrapText="1"/>
    </xf>
    <xf numFmtId="0" fontId="9" fillId="2" borderId="9" xfId="0" applyFont="1" applyFill="1" applyBorder="1" applyAlignment="1">
      <alignment vertical="center" wrapText="1"/>
    </xf>
    <xf numFmtId="165" fontId="9" fillId="2" borderId="9" xfId="0" applyNumberFormat="1" applyFont="1" applyFill="1" applyBorder="1" applyAlignment="1">
      <alignment horizontal="right" vertical="center" wrapText="1"/>
    </xf>
    <xf numFmtId="0" fontId="0" fillId="8" borderId="1" xfId="0" applyFill="1" applyBorder="1" applyProtection="1">
      <protection locked="0"/>
    </xf>
    <xf numFmtId="0" fontId="12" fillId="0" borderId="0" xfId="0" applyFont="1"/>
    <xf numFmtId="0" fontId="13" fillId="0" borderId="0" xfId="0" applyFont="1"/>
    <xf numFmtId="0" fontId="14" fillId="0" borderId="0" xfId="0" applyFont="1"/>
    <xf numFmtId="166" fontId="5" fillId="5" borderId="10" xfId="0" applyNumberFormat="1" applyFont="1" applyFill="1" applyBorder="1"/>
    <xf numFmtId="0" fontId="5" fillId="9" borderId="10" xfId="0" applyFont="1" applyFill="1" applyBorder="1" applyProtection="1">
      <protection locked="0"/>
    </xf>
    <xf numFmtId="165" fontId="5" fillId="5" borderId="10" xfId="0" applyNumberFormat="1" applyFont="1" applyFill="1" applyBorder="1"/>
    <xf numFmtId="0" fontId="15" fillId="0" borderId="0" xfId="0" applyFont="1"/>
    <xf numFmtId="0" fontId="16" fillId="0" borderId="0" xfId="0" applyFont="1" applyFill="1" applyBorder="1"/>
    <xf numFmtId="0" fontId="0" fillId="0" borderId="0" xfId="0" applyFill="1" applyBorder="1"/>
    <xf numFmtId="0" fontId="17" fillId="0" borderId="0" xfId="0" applyFont="1" applyFill="1" applyBorder="1"/>
    <xf numFmtId="0" fontId="18" fillId="0" borderId="0" xfId="0" applyFont="1" applyFill="1" applyBorder="1"/>
    <xf numFmtId="0" fontId="19" fillId="0" borderId="0" xfId="0" applyFont="1" applyFill="1" applyBorder="1"/>
    <xf numFmtId="0" fontId="20" fillId="0" borderId="0" xfId="0" applyFont="1" applyFill="1" applyBorder="1"/>
    <xf numFmtId="0" fontId="21" fillId="0" borderId="0" xfId="0" applyFont="1" applyProtection="1">
      <protection hidden="1"/>
    </xf>
    <xf numFmtId="0" fontId="6" fillId="0" borderId="0" xfId="0" applyFont="1" applyFill="1"/>
    <xf numFmtId="0" fontId="6" fillId="0" borderId="0" xfId="0" applyFont="1" applyBorder="1"/>
    <xf numFmtId="0" fontId="6" fillId="0" borderId="0" xfId="0" applyFont="1" applyFill="1" applyBorder="1"/>
    <xf numFmtId="0" fontId="22" fillId="0" borderId="0" xfId="0" applyFont="1"/>
    <xf numFmtId="0" fontId="23" fillId="0" borderId="0" xfId="0" applyFont="1"/>
    <xf numFmtId="0" fontId="22" fillId="4" borderId="1" xfId="0" applyFont="1" applyFill="1" applyBorder="1" applyAlignment="1">
      <alignment horizontal="center"/>
    </xf>
    <xf numFmtId="0" fontId="2" fillId="4" borderId="1" xfId="0" applyFont="1" applyFill="1" applyBorder="1" applyAlignment="1">
      <alignment horizontal="center"/>
    </xf>
    <xf numFmtId="49" fontId="2" fillId="4" borderId="1" xfId="0" applyNumberFormat="1" applyFont="1" applyFill="1" applyBorder="1" applyAlignment="1">
      <alignment horizontal="center"/>
    </xf>
    <xf numFmtId="0" fontId="22" fillId="10" borderId="1" xfId="0" applyFont="1" applyFill="1" applyBorder="1" applyAlignment="1">
      <alignment horizontal="center" vertical="center" wrapText="1"/>
    </xf>
    <xf numFmtId="0" fontId="6" fillId="5" borderId="1" xfId="0" applyFont="1" applyFill="1" applyBorder="1" applyAlignment="1">
      <alignment horizontal="left" vertical="center"/>
    </xf>
    <xf numFmtId="165" fontId="6" fillId="5" borderId="1" xfId="3" applyFont="1" applyFill="1" applyBorder="1" applyAlignment="1"/>
    <xf numFmtId="165" fontId="6" fillId="10" borderId="1" xfId="3" applyFont="1" applyFill="1" applyBorder="1" applyAlignment="1"/>
    <xf numFmtId="0" fontId="22" fillId="5" borderId="1" xfId="0" applyFont="1" applyFill="1" applyBorder="1" applyAlignment="1">
      <alignment horizontal="center" vertical="center"/>
    </xf>
    <xf numFmtId="0" fontId="6" fillId="5" borderId="1" xfId="0" applyFont="1" applyFill="1" applyBorder="1" applyAlignment="1">
      <alignment vertical="top" wrapText="1"/>
    </xf>
    <xf numFmtId="165" fontId="6" fillId="5" borderId="1" xfId="3" applyFont="1" applyFill="1" applyBorder="1" applyAlignment="1">
      <alignment horizontal="right"/>
    </xf>
    <xf numFmtId="165" fontId="6" fillId="10" borderId="1" xfId="3" applyFont="1" applyFill="1" applyBorder="1" applyAlignment="1">
      <alignment horizontal="right"/>
    </xf>
    <xf numFmtId="0" fontId="22" fillId="5" borderId="1" xfId="0" applyFont="1" applyFill="1" applyBorder="1" applyAlignment="1">
      <alignment horizontal="center"/>
    </xf>
    <xf numFmtId="0" fontId="6" fillId="5" borderId="1" xfId="0" applyFont="1" applyFill="1" applyBorder="1"/>
    <xf numFmtId="165" fontId="6" fillId="10" borderId="1" xfId="3" applyFont="1" applyFill="1" applyBorder="1"/>
    <xf numFmtId="0" fontId="22" fillId="0" borderId="0" xfId="0" applyFont="1" applyFill="1" applyBorder="1" applyAlignment="1">
      <alignment horizontal="center"/>
    </xf>
    <xf numFmtId="165" fontId="6" fillId="0" borderId="0" xfId="3" applyFont="1" applyFill="1" applyBorder="1" applyAlignment="1">
      <alignment horizontal="right"/>
    </xf>
    <xf numFmtId="165" fontId="6" fillId="0" borderId="0" xfId="3" applyFont="1" applyFill="1" applyBorder="1"/>
    <xf numFmtId="0" fontId="23" fillId="0" borderId="0" xfId="0" applyFont="1" applyBorder="1" applyAlignment="1"/>
    <xf numFmtId="0" fontId="24" fillId="0" borderId="11" xfId="0" applyFont="1" applyFill="1" applyBorder="1" applyAlignment="1"/>
    <xf numFmtId="0" fontId="24" fillId="0" borderId="11" xfId="0" applyFont="1" applyFill="1" applyBorder="1" applyAlignment="1" applyProtection="1">
      <protection locked="0"/>
    </xf>
    <xf numFmtId="49" fontId="22" fillId="4" borderId="1" xfId="0" applyNumberFormat="1" applyFont="1" applyFill="1" applyBorder="1" applyAlignment="1">
      <alignment horizontal="center"/>
    </xf>
    <xf numFmtId="165" fontId="22" fillId="5" borderId="1" xfId="3" applyFont="1" applyFill="1" applyBorder="1"/>
    <xf numFmtId="0" fontId="22" fillId="0" borderId="0" xfId="0" applyFont="1" applyBorder="1"/>
    <xf numFmtId="4" fontId="22" fillId="0" borderId="0" xfId="0" applyNumberFormat="1" applyFont="1" applyBorder="1"/>
    <xf numFmtId="3" fontId="22" fillId="0" borderId="0" xfId="0" applyNumberFormat="1" applyFont="1" applyBorder="1"/>
    <xf numFmtId="0" fontId="23" fillId="0" borderId="0" xfId="0" applyFont="1" applyBorder="1" applyAlignment="1">
      <alignment horizontal="left"/>
    </xf>
    <xf numFmtId="3" fontId="22" fillId="4" borderId="1" xfId="0" applyNumberFormat="1" applyFont="1" applyFill="1" applyBorder="1" applyAlignment="1">
      <alignment horizontal="center"/>
    </xf>
    <xf numFmtId="165" fontId="6" fillId="5" borderId="1" xfId="3" applyFont="1" applyFill="1" applyBorder="1"/>
    <xf numFmtId="3" fontId="6" fillId="0" borderId="0" xfId="0" applyNumberFormat="1" applyFont="1" applyBorder="1"/>
    <xf numFmtId="167" fontId="6" fillId="0" borderId="0" xfId="0" applyNumberFormat="1" applyFont="1"/>
    <xf numFmtId="0" fontId="25" fillId="4" borderId="12"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7" xfId="0" applyFont="1" applyFill="1" applyBorder="1" applyAlignment="1">
      <alignment horizontal="center" vertical="center" wrapText="1"/>
    </xf>
    <xf numFmtId="0" fontId="25" fillId="4" borderId="13" xfId="0" applyFont="1" applyFill="1" applyBorder="1" applyAlignment="1">
      <alignment horizontal="center" vertical="center"/>
    </xf>
    <xf numFmtId="0" fontId="6" fillId="5" borderId="6" xfId="0" applyFont="1" applyFill="1" applyBorder="1" applyAlignment="1">
      <alignment horizontal="left"/>
    </xf>
    <xf numFmtId="0" fontId="0" fillId="10" borderId="1" xfId="0" applyFill="1" applyBorder="1" applyAlignment="1">
      <alignment horizontal="center"/>
    </xf>
    <xf numFmtId="0" fontId="0" fillId="9" borderId="1" xfId="0" applyFill="1" applyBorder="1" applyProtection="1">
      <protection locked="0"/>
    </xf>
    <xf numFmtId="0" fontId="0" fillId="5" borderId="4" xfId="0" applyFill="1" applyBorder="1"/>
    <xf numFmtId="0" fontId="26" fillId="9" borderId="1" xfId="0" applyFont="1" applyFill="1" applyBorder="1" applyProtection="1">
      <protection locked="0"/>
    </xf>
    <xf numFmtId="1" fontId="0" fillId="9" borderId="1" xfId="0" applyNumberFormat="1" applyFill="1" applyBorder="1" applyProtection="1">
      <protection locked="0"/>
    </xf>
    <xf numFmtId="2" fontId="0" fillId="9" borderId="1" xfId="0" applyNumberFormat="1" applyFill="1" applyBorder="1" applyProtection="1">
      <protection locked="0"/>
    </xf>
    <xf numFmtId="0" fontId="6" fillId="5" borderId="14" xfId="0" applyFont="1" applyFill="1" applyBorder="1" applyAlignment="1">
      <alignment horizontal="left"/>
    </xf>
    <xf numFmtId="0" fontId="0" fillId="10" borderId="3" xfId="0" applyFill="1" applyBorder="1" applyAlignment="1">
      <alignment horizontal="center"/>
    </xf>
    <xf numFmtId="0" fontId="26" fillId="9" borderId="3" xfId="0" applyFont="1" applyFill="1" applyBorder="1" applyProtection="1">
      <protection locked="0"/>
    </xf>
    <xf numFmtId="0" fontId="0" fillId="9" borderId="3" xfId="0" applyFill="1" applyBorder="1" applyProtection="1">
      <protection locked="0"/>
    </xf>
    <xf numFmtId="0" fontId="0" fillId="5" borderId="15" xfId="0" applyFill="1" applyBorder="1"/>
    <xf numFmtId="0" fontId="23" fillId="0" borderId="0" xfId="0" applyFont="1" applyAlignment="1">
      <alignment horizontal="left"/>
    </xf>
    <xf numFmtId="0" fontId="7" fillId="4" borderId="1" xfId="0" applyFont="1" applyFill="1" applyBorder="1" applyAlignment="1">
      <alignment horizontal="center" vertical="center" wrapText="1"/>
    </xf>
    <xf numFmtId="0" fontId="0" fillId="0" borderId="1" xfId="0" applyBorder="1" applyAlignment="1">
      <alignment horizontal="center" vertical="center" wrapText="1"/>
    </xf>
    <xf numFmtId="0" fontId="7" fillId="4" borderId="1" xfId="0" applyFont="1" applyFill="1" applyBorder="1" applyAlignment="1">
      <alignment horizontal="center"/>
    </xf>
    <xf numFmtId="0" fontId="7" fillId="4"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3" fontId="3" fillId="5" borderId="1" xfId="0" applyNumberFormat="1" applyFont="1" applyFill="1" applyBorder="1"/>
    <xf numFmtId="3" fontId="3" fillId="9" borderId="1" xfId="0" applyNumberFormat="1" applyFont="1" applyFill="1" applyBorder="1" applyAlignment="1" applyProtection="1">
      <alignment vertical="center"/>
      <protection locked="0"/>
    </xf>
    <xf numFmtId="3" fontId="3" fillId="9" borderId="1" xfId="0" applyNumberFormat="1" applyFont="1" applyFill="1" applyBorder="1" applyProtection="1">
      <protection locked="0"/>
    </xf>
    <xf numFmtId="3" fontId="7" fillId="5" borderId="1" xfId="0" applyNumberFormat="1" applyFont="1" applyFill="1" applyBorder="1"/>
    <xf numFmtId="0" fontId="3" fillId="0" borderId="0" xfId="0" applyFont="1" applyAlignment="1">
      <alignment horizontal="center"/>
    </xf>
    <xf numFmtId="0" fontId="3" fillId="5" borderId="4" xfId="0" applyFont="1" applyFill="1" applyBorder="1" applyAlignment="1">
      <alignment horizontal="left" vertical="center"/>
    </xf>
    <xf numFmtId="0" fontId="3" fillId="5" borderId="6"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3" fontId="3" fillId="0" borderId="0" xfId="0" applyNumberFormat="1" applyFont="1" applyFill="1" applyBorder="1"/>
    <xf numFmtId="3" fontId="3" fillId="0" borderId="0" xfId="0" applyNumberFormat="1" applyFont="1" applyFill="1" applyBorder="1" applyProtection="1">
      <protection locked="0"/>
    </xf>
    <xf numFmtId="0" fontId="7" fillId="5" borderId="1" xfId="0" applyFont="1" applyFill="1" applyBorder="1" applyAlignment="1">
      <alignment horizontal="center" vertical="center"/>
    </xf>
    <xf numFmtId="0" fontId="5" fillId="5" borderId="1" xfId="0" applyFont="1" applyFill="1" applyBorder="1" applyAlignment="1">
      <alignment horizontal="left"/>
    </xf>
    <xf numFmtId="3" fontId="27" fillId="9" borderId="1" xfId="0" applyNumberFormat="1" applyFont="1" applyFill="1" applyBorder="1" applyProtection="1">
      <protection locked="0"/>
    </xf>
    <xf numFmtId="0" fontId="7" fillId="4" borderId="0" xfId="0" applyFont="1" applyFill="1" applyBorder="1" applyAlignment="1">
      <alignment horizontal="center"/>
    </xf>
    <xf numFmtId="3" fontId="3" fillId="5" borderId="0" xfId="0" applyNumberFormat="1" applyFont="1" applyFill="1" applyBorder="1"/>
    <xf numFmtId="3" fontId="7" fillId="5" borderId="0" xfId="0" applyNumberFormat="1" applyFont="1" applyFill="1" applyBorder="1"/>
    <xf numFmtId="3" fontId="28" fillId="5" borderId="0" xfId="0" applyNumberFormat="1" applyFont="1" applyFill="1" applyBorder="1" applyProtection="1"/>
    <xf numFmtId="0" fontId="29" fillId="0" borderId="0" xfId="0" applyFont="1" applyProtection="1">
      <protection hidden="1"/>
    </xf>
    <xf numFmtId="0" fontId="29" fillId="0" borderId="0" xfId="0" applyFont="1" applyAlignment="1" applyProtection="1">
      <alignment horizontal="center"/>
      <protection hidden="1"/>
    </xf>
    <xf numFmtId="1" fontId="29" fillId="0" borderId="0" xfId="0" applyNumberFormat="1" applyFont="1" applyProtection="1">
      <protection hidden="1"/>
    </xf>
    <xf numFmtId="3" fontId="29" fillId="0" borderId="0" xfId="0" applyNumberFormat="1" applyFont="1" applyProtection="1">
      <protection hidden="1"/>
    </xf>
    <xf numFmtId="0" fontId="6" fillId="0" borderId="0" xfId="0" applyFont="1" applyProtection="1">
      <protection hidden="1"/>
    </xf>
    <xf numFmtId="0" fontId="7" fillId="0" borderId="1" xfId="0" applyFont="1" applyFill="1" applyBorder="1" applyAlignment="1" applyProtection="1">
      <alignment horizontal="left" vertical="center"/>
      <protection locked="0"/>
    </xf>
    <xf numFmtId="0" fontId="30" fillId="0" borderId="0" xfId="0" applyFont="1"/>
    <xf numFmtId="0" fontId="30" fillId="0" borderId="0" xfId="0" applyFont="1" applyAlignment="1">
      <alignment vertical="center"/>
    </xf>
    <xf numFmtId="0" fontId="30" fillId="3" borderId="0" xfId="0" applyFont="1" applyFill="1"/>
    <xf numFmtId="0" fontId="17" fillId="0" borderId="0" xfId="0" applyFont="1"/>
    <xf numFmtId="0" fontId="7" fillId="3" borderId="3"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7" fillId="3" borderId="1" xfId="0" applyFont="1" applyFill="1" applyBorder="1" applyAlignment="1" applyProtection="1">
      <alignment vertical="top" wrapText="1"/>
      <protection locked="0"/>
    </xf>
    <xf numFmtId="0" fontId="17" fillId="0" borderId="0" xfId="0" applyFont="1" applyFill="1"/>
    <xf numFmtId="0" fontId="7" fillId="4" borderId="3" xfId="0" applyFont="1" applyFill="1" applyBorder="1" applyAlignment="1">
      <alignment horizontal="center" vertical="center" wrapText="1" shrinkToFit="1"/>
    </xf>
    <xf numFmtId="0" fontId="7" fillId="4" borderId="7" xfId="0" applyFont="1" applyFill="1" applyBorder="1" applyAlignment="1">
      <alignment horizontal="center" vertical="center" wrapText="1" shrinkToFit="1"/>
    </xf>
    <xf numFmtId="0" fontId="3" fillId="3" borderId="1" xfId="0" applyFont="1" applyFill="1" applyBorder="1" applyProtection="1">
      <protection locked="0"/>
    </xf>
    <xf numFmtId="0" fontId="3" fillId="0" borderId="1" xfId="22" applyFont="1" applyFill="1" applyBorder="1" applyAlignment="1">
      <alignment horizontal="left" vertical="top" wrapText="1"/>
    </xf>
    <xf numFmtId="0" fontId="32" fillId="0" borderId="1" xfId="23" applyFont="1" applyBorder="1" applyAlignment="1">
      <alignment vertical="top" wrapText="1"/>
    </xf>
    <xf numFmtId="0" fontId="32" fillId="0" borderId="1" xfId="22" applyFont="1" applyFill="1" applyBorder="1" applyAlignment="1">
      <alignment horizontal="left" vertical="top" wrapText="1"/>
    </xf>
    <xf numFmtId="3" fontId="32" fillId="9" borderId="1" xfId="0" applyNumberFormat="1" applyFont="1" applyFill="1" applyBorder="1" applyProtection="1">
      <protection locked="0"/>
    </xf>
    <xf numFmtId="3" fontId="32" fillId="5" borderId="1" xfId="0" applyNumberFormat="1" applyFont="1" applyFill="1" applyBorder="1"/>
    <xf numFmtId="3" fontId="3" fillId="9" borderId="1" xfId="0" applyNumberFormat="1" applyFont="1" applyFill="1" applyBorder="1" applyAlignment="1" applyProtection="1">
      <alignment wrapText="1"/>
      <protection locked="0"/>
    </xf>
    <xf numFmtId="3" fontId="3" fillId="5" borderId="4" xfId="0" applyNumberFormat="1" applyFont="1" applyFill="1" applyBorder="1"/>
    <xf numFmtId="0" fontId="3" fillId="0" borderId="1" xfId="22" applyFont="1" applyFill="1" applyBorder="1" applyAlignment="1">
      <alignment vertical="top" wrapText="1"/>
    </xf>
    <xf numFmtId="0" fontId="3" fillId="0" borderId="1" xfId="23" applyFont="1" applyFill="1" applyBorder="1" applyAlignment="1">
      <alignment horizontal="left" vertical="top" wrapText="1"/>
    </xf>
    <xf numFmtId="0" fontId="32" fillId="0" borderId="1" xfId="23" applyFont="1" applyFill="1" applyBorder="1" applyAlignment="1">
      <alignment horizontal="left" vertical="top" wrapText="1"/>
    </xf>
    <xf numFmtId="0" fontId="33" fillId="0" borderId="0" xfId="24" applyFont="1" applyFill="1" applyBorder="1" applyProtection="1">
      <protection hidden="1"/>
    </xf>
    <xf numFmtId="0" fontId="33" fillId="0" borderId="0" xfId="0" applyFont="1" applyFill="1" applyBorder="1" applyProtection="1">
      <protection hidden="1"/>
    </xf>
    <xf numFmtId="0" fontId="34" fillId="0" borderId="0" xfId="0" applyFont="1" applyBorder="1" applyProtection="1">
      <protection hidden="1"/>
    </xf>
    <xf numFmtId="0" fontId="5" fillId="0" borderId="0" xfId="0" applyFont="1" applyFill="1"/>
    <xf numFmtId="1" fontId="35" fillId="11" borderId="1" xfId="0" applyNumberFormat="1" applyFont="1" applyFill="1" applyBorder="1" applyAlignment="1">
      <alignment horizontal="center" vertical="center"/>
    </xf>
    <xf numFmtId="1" fontId="3" fillId="9" borderId="1" xfId="0" applyNumberFormat="1" applyFont="1" applyFill="1" applyBorder="1" applyProtection="1">
      <protection locked="0"/>
    </xf>
    <xf numFmtId="1" fontId="23" fillId="0" borderId="0" xfId="0" applyNumberFormat="1" applyFont="1" applyProtection="1"/>
    <xf numFmtId="1" fontId="5" fillId="0" borderId="0" xfId="0" applyNumberFormat="1" applyFont="1" applyProtection="1"/>
    <xf numFmtId="1" fontId="2" fillId="0" borderId="0" xfId="0" applyNumberFormat="1" applyFont="1" applyFill="1" applyBorder="1" applyAlignment="1" applyProtection="1"/>
    <xf numFmtId="0" fontId="5" fillId="0" borderId="0" xfId="0" applyFont="1" applyProtection="1"/>
    <xf numFmtId="1" fontId="5" fillId="4" borderId="22" xfId="0" applyNumberFormat="1" applyFont="1" applyFill="1" applyBorder="1" applyAlignment="1" applyProtection="1"/>
    <xf numFmtId="1" fontId="5" fillId="4" borderId="5" xfId="0" applyNumberFormat="1" applyFont="1" applyFill="1" applyBorder="1" applyAlignment="1" applyProtection="1"/>
    <xf numFmtId="1" fontId="5" fillId="4" borderId="27" xfId="0" applyNumberFormat="1" applyFont="1" applyFill="1" applyBorder="1" applyAlignment="1" applyProtection="1"/>
    <xf numFmtId="1" fontId="5" fillId="4" borderId="2" xfId="0" applyNumberFormat="1" applyFont="1" applyFill="1" applyBorder="1" applyAlignment="1" applyProtection="1"/>
    <xf numFmtId="1" fontId="5" fillId="4" borderId="28" xfId="0" applyNumberFormat="1" applyFont="1" applyFill="1" applyBorder="1" applyAlignment="1" applyProtection="1"/>
    <xf numFmtId="1" fontId="7" fillId="4" borderId="1" xfId="0" applyNumberFormat="1" applyFont="1" applyFill="1" applyBorder="1" applyAlignment="1" applyProtection="1">
      <alignment horizontal="center" vertical="center"/>
      <protection hidden="1"/>
    </xf>
    <xf numFmtId="1" fontId="7" fillId="4" borderId="1" xfId="0" applyNumberFormat="1" applyFont="1" applyFill="1" applyBorder="1" applyAlignment="1" applyProtection="1">
      <alignment horizontal="center" vertical="center" wrapText="1"/>
      <protection hidden="1"/>
    </xf>
    <xf numFmtId="1" fontId="3" fillId="4" borderId="1" xfId="0" applyNumberFormat="1" applyFont="1" applyFill="1" applyBorder="1" applyAlignment="1" applyProtection="1">
      <alignment horizontal="center"/>
    </xf>
    <xf numFmtId="49" fontId="3" fillId="0" borderId="1" xfId="0" applyNumberFormat="1" applyFont="1" applyBorder="1" applyProtection="1">
      <protection locked="0"/>
    </xf>
    <xf numFmtId="164" fontId="3" fillId="9" borderId="1" xfId="2" applyNumberFormat="1" applyFont="1" applyFill="1" applyBorder="1" applyProtection="1">
      <protection locked="0"/>
    </xf>
    <xf numFmtId="164" fontId="3" fillId="5" borderId="1" xfId="2" applyNumberFormat="1" applyFont="1" applyFill="1" applyBorder="1" applyProtection="1"/>
    <xf numFmtId="0" fontId="0" fillId="0" borderId="0" xfId="0" applyProtection="1"/>
    <xf numFmtId="0" fontId="2" fillId="0" borderId="0" xfId="0" applyFont="1" applyAlignment="1">
      <alignment horizontal="center"/>
    </xf>
    <xf numFmtId="0" fontId="2" fillId="0" borderId="0" xfId="0" applyFont="1" applyAlignment="1">
      <alignment horizontal="left"/>
    </xf>
    <xf numFmtId="0" fontId="5" fillId="0" borderId="0" xfId="0" applyFont="1" applyFill="1" applyAlignment="1">
      <alignment horizontal="center"/>
    </xf>
    <xf numFmtId="0" fontId="5" fillId="0" borderId="0" xfId="0" applyFont="1" applyFill="1" applyBorder="1" applyAlignment="1">
      <alignment horizontal="center"/>
    </xf>
    <xf numFmtId="0" fontId="36" fillId="0" borderId="0" xfId="0" applyFont="1"/>
    <xf numFmtId="0" fontId="2" fillId="0" borderId="0" xfId="0" applyFont="1" applyBorder="1" applyAlignment="1">
      <alignment horizontal="center"/>
    </xf>
    <xf numFmtId="0" fontId="2" fillId="0" borderId="0" xfId="0" applyFont="1" applyBorder="1" applyAlignment="1">
      <alignment horizontal="left"/>
    </xf>
    <xf numFmtId="1" fontId="3" fillId="0" borderId="0" xfId="0" applyNumberFormat="1" applyFont="1"/>
    <xf numFmtId="1" fontId="7" fillId="0" borderId="0" xfId="0" applyNumberFormat="1" applyFont="1"/>
    <xf numFmtId="1" fontId="3" fillId="0" borderId="0" xfId="0" applyNumberFormat="1" applyFont="1" applyFill="1" applyBorder="1" applyProtection="1">
      <protection locked="0"/>
    </xf>
    <xf numFmtId="0" fontId="7" fillId="0" borderId="0" xfId="0" applyFont="1"/>
    <xf numFmtId="10" fontId="3" fillId="5" borderId="1" xfId="0" applyNumberFormat="1" applyFont="1" applyFill="1" applyBorder="1" applyProtection="1"/>
    <xf numFmtId="2" fontId="3" fillId="0" borderId="0" xfId="0" applyNumberFormat="1" applyFont="1" applyFill="1" applyBorder="1" applyProtection="1">
      <protection locked="0"/>
    </xf>
    <xf numFmtId="10" fontId="3" fillId="9" borderId="1" xfId="0" applyNumberFormat="1" applyFont="1" applyFill="1" applyBorder="1" applyProtection="1">
      <protection locked="0"/>
    </xf>
    <xf numFmtId="0" fontId="37" fillId="0" borderId="0" xfId="0" applyFont="1" applyAlignment="1">
      <alignment horizontal="left" vertical="top"/>
    </xf>
    <xf numFmtId="0" fontId="2" fillId="0" borderId="0" xfId="0" applyFont="1" applyFill="1" applyBorder="1"/>
    <xf numFmtId="0" fontId="5" fillId="0" borderId="0" xfId="0" applyFont="1" applyFill="1" applyBorder="1"/>
    <xf numFmtId="0" fontId="5" fillId="3" borderId="0" xfId="0" applyFont="1" applyFill="1" applyBorder="1"/>
    <xf numFmtId="0" fontId="5" fillId="0" borderId="0" xfId="0" applyFont="1" applyFill="1" applyBorder="1" applyAlignment="1" applyProtection="1">
      <protection locked="0"/>
    </xf>
    <xf numFmtId="0" fontId="5" fillId="0" borderId="0" xfId="0" applyFont="1" applyFill="1" applyBorder="1" applyAlignment="1" applyProtection="1">
      <alignment horizontal="left"/>
      <protection locked="0"/>
    </xf>
    <xf numFmtId="0" fontId="6" fillId="0" borderId="0" xfId="0" applyFont="1" applyFill="1" applyBorder="1" applyAlignment="1">
      <alignment horizontal="center"/>
    </xf>
    <xf numFmtId="20" fontId="37" fillId="0" borderId="0" xfId="0" applyNumberFormat="1" applyFont="1"/>
    <xf numFmtId="20" fontId="6" fillId="0" borderId="0" xfId="0" applyNumberFormat="1" applyFont="1"/>
    <xf numFmtId="1" fontId="3" fillId="0" borderId="0" xfId="0" applyNumberFormat="1" applyFont="1" applyBorder="1"/>
    <xf numFmtId="9" fontId="3" fillId="5" borderId="1" xfId="0" applyNumberFormat="1" applyFont="1" applyFill="1" applyBorder="1"/>
    <xf numFmtId="0" fontId="5" fillId="0" borderId="0" xfId="0" applyFont="1" applyFill="1" applyBorder="1" applyAlignment="1" applyProtection="1">
      <alignment vertical="top"/>
      <protection locked="0"/>
    </xf>
    <xf numFmtId="0" fontId="38" fillId="0" borderId="0" xfId="0" applyFont="1"/>
    <xf numFmtId="0" fontId="39" fillId="0" borderId="0" xfId="0" applyFont="1"/>
    <xf numFmtId="0" fontId="40" fillId="0" borderId="0" xfId="0" applyFont="1"/>
    <xf numFmtId="0" fontId="41" fillId="0" borderId="0" xfId="0" applyFont="1"/>
    <xf numFmtId="0" fontId="3" fillId="0" borderId="0" xfId="0" applyFont="1" applyAlignment="1">
      <alignment horizontal="left"/>
    </xf>
    <xf numFmtId="0" fontId="42" fillId="0" borderId="0" xfId="0" applyFont="1"/>
    <xf numFmtId="0" fontId="3" fillId="0" borderId="10" xfId="0" applyFont="1" applyBorder="1"/>
    <xf numFmtId="0" fontId="3" fillId="0" borderId="18" xfId="0" applyFont="1" applyBorder="1"/>
    <xf numFmtId="0" fontId="3" fillId="9" borderId="10" xfId="0" applyFont="1" applyFill="1" applyBorder="1"/>
    <xf numFmtId="0" fontId="3" fillId="5" borderId="10" xfId="0" applyFont="1" applyFill="1" applyBorder="1"/>
    <xf numFmtId="0" fontId="31" fillId="0" borderId="0" xfId="0" applyFont="1"/>
    <xf numFmtId="9" fontId="3" fillId="31" borderId="1" xfId="0" applyNumberFormat="1" applyFont="1" applyFill="1" applyBorder="1" applyProtection="1">
      <protection locked="0"/>
    </xf>
    <xf numFmtId="0" fontId="64" fillId="3" borderId="1" xfId="0" applyFont="1" applyFill="1" applyBorder="1" applyProtection="1">
      <protection locked="0"/>
    </xf>
    <xf numFmtId="0" fontId="64" fillId="0" borderId="3" xfId="0" applyFont="1" applyBorder="1" applyAlignment="1">
      <alignment vertical="top" wrapText="1"/>
    </xf>
    <xf numFmtId="0" fontId="64" fillId="0" borderId="1" xfId="22" applyFont="1" applyFill="1" applyBorder="1" applyAlignment="1">
      <alignment horizontal="left" vertical="top" wrapText="1"/>
    </xf>
    <xf numFmtId="0" fontId="64" fillId="0" borderId="1" xfId="22" applyFont="1" applyFill="1" applyBorder="1" applyAlignment="1">
      <alignment horizontal="left" vertical="center" wrapText="1"/>
    </xf>
    <xf numFmtId="0" fontId="64" fillId="3" borderId="1" xfId="0" applyFont="1" applyFill="1" applyBorder="1" applyAlignment="1" applyProtection="1">
      <alignment vertical="center"/>
      <protection locked="0"/>
    </xf>
    <xf numFmtId="0" fontId="64" fillId="3" borderId="1" xfId="0" applyFont="1" applyFill="1" applyBorder="1" applyAlignment="1" applyProtection="1">
      <alignment vertical="center" wrapText="1"/>
      <protection locked="0"/>
    </xf>
    <xf numFmtId="3" fontId="64" fillId="31" borderId="1" xfId="0" applyNumberFormat="1" applyFont="1" applyFill="1" applyBorder="1" applyProtection="1">
      <protection locked="0"/>
    </xf>
    <xf numFmtId="0" fontId="64" fillId="0" borderId="16" xfId="22" applyFont="1" applyFill="1" applyBorder="1" applyAlignment="1">
      <alignment horizontal="left" vertical="top" wrapText="1"/>
    </xf>
    <xf numFmtId="0" fontId="64" fillId="0" borderId="1" xfId="0" applyFont="1" applyBorder="1" applyAlignment="1">
      <alignment vertical="top" wrapText="1"/>
    </xf>
    <xf numFmtId="3" fontId="65" fillId="31" borderId="1" xfId="0" applyNumberFormat="1" applyFont="1" applyFill="1" applyBorder="1" applyProtection="1">
      <protection locked="0"/>
    </xf>
    <xf numFmtId="0" fontId="64" fillId="0" borderId="1" xfId="23" applyFont="1" applyFill="1" applyBorder="1" applyAlignment="1">
      <alignment vertical="top" wrapText="1"/>
    </xf>
    <xf numFmtId="0" fontId="65" fillId="0" borderId="1" xfId="23" applyFont="1" applyBorder="1" applyAlignment="1">
      <alignment vertical="top" wrapText="1"/>
    </xf>
    <xf numFmtId="0" fontId="65" fillId="0" borderId="1" xfId="23" applyFont="1" applyBorder="1" applyAlignment="1">
      <alignment wrapText="1"/>
    </xf>
    <xf numFmtId="0" fontId="65" fillId="0" borderId="1" xfId="23" applyFont="1" applyFill="1" applyBorder="1" applyAlignment="1">
      <alignment vertical="top" wrapText="1"/>
    </xf>
    <xf numFmtId="0" fontId="65" fillId="0" borderId="1" xfId="23" applyFont="1" applyBorder="1" applyAlignment="1">
      <alignment vertical="center" wrapText="1"/>
    </xf>
    <xf numFmtId="0" fontId="64" fillId="34" borderId="1" xfId="0" applyFont="1" applyFill="1" applyBorder="1" applyAlignment="1" applyProtection="1">
      <alignment vertical="center" wrapText="1"/>
      <protection locked="0"/>
    </xf>
    <xf numFmtId="1" fontId="7" fillId="4" borderId="1" xfId="0" applyNumberFormat="1" applyFont="1" applyFill="1" applyBorder="1" applyAlignment="1" applyProtection="1">
      <alignment horizontal="center" vertical="center"/>
      <protection hidden="1"/>
    </xf>
    <xf numFmtId="1" fontId="7" fillId="4" borderId="1" xfId="0" applyNumberFormat="1" applyFont="1" applyFill="1" applyBorder="1" applyAlignment="1">
      <alignment horizontal="center" vertical="center"/>
    </xf>
    <xf numFmtId="1" fontId="7" fillId="4" borderId="1" xfId="0" applyNumberFormat="1" applyFont="1" applyFill="1" applyBorder="1" applyAlignment="1" applyProtection="1">
      <alignment horizontal="center" vertical="center"/>
      <protection hidden="1"/>
    </xf>
    <xf numFmtId="3" fontId="32" fillId="31" borderId="1" xfId="0" applyNumberFormat="1" applyFont="1" applyFill="1" applyBorder="1" applyProtection="1">
      <protection locked="0"/>
    </xf>
    <xf numFmtId="3" fontId="3" fillId="31" borderId="1" xfId="0" applyNumberFormat="1" applyFont="1" applyFill="1" applyBorder="1" applyProtection="1">
      <protection locked="0"/>
    </xf>
    <xf numFmtId="0" fontId="64" fillId="35" borderId="1" xfId="23" applyFont="1" applyFill="1" applyBorder="1" applyAlignment="1">
      <alignment vertical="top" wrapText="1"/>
    </xf>
    <xf numFmtId="0" fontId="64" fillId="35" borderId="1" xfId="22" applyFont="1" applyFill="1" applyBorder="1" applyAlignment="1">
      <alignment horizontal="left" vertical="top" wrapText="1"/>
    </xf>
    <xf numFmtId="0" fontId="3" fillId="35" borderId="1" xfId="22" applyFont="1" applyFill="1" applyBorder="1" applyAlignment="1">
      <alignment horizontal="left" vertical="top" wrapText="1"/>
    </xf>
    <xf numFmtId="0" fontId="64" fillId="35" borderId="1" xfId="0" applyFont="1" applyFill="1" applyBorder="1" applyAlignment="1" applyProtection="1">
      <alignment vertical="center" wrapText="1"/>
      <protection locked="0"/>
    </xf>
    <xf numFmtId="0" fontId="64" fillId="0" borderId="1" xfId="0" applyFont="1" applyFill="1" applyBorder="1" applyProtection="1">
      <protection locked="0"/>
    </xf>
    <xf numFmtId="0" fontId="3" fillId="0" borderId="1" xfId="0" applyFont="1" applyFill="1" applyBorder="1" applyProtection="1">
      <protection locked="0"/>
    </xf>
    <xf numFmtId="0" fontId="64" fillId="0" borderId="1" xfId="0" applyFont="1" applyFill="1" applyBorder="1" applyAlignment="1" applyProtection="1">
      <alignment vertical="center" wrapText="1"/>
      <protection locked="0"/>
    </xf>
    <xf numFmtId="3" fontId="3" fillId="0" borderId="1" xfId="0" applyNumberFormat="1" applyFont="1" applyFill="1" applyBorder="1" applyProtection="1">
      <protection locked="0"/>
    </xf>
    <xf numFmtId="3" fontId="3" fillId="0" borderId="1" xfId="0" applyNumberFormat="1" applyFont="1" applyFill="1" applyBorder="1"/>
    <xf numFmtId="0" fontId="0" fillId="0" borderId="0" xfId="0" applyFill="1"/>
    <xf numFmtId="3" fontId="32" fillId="0" borderId="1" xfId="0" applyNumberFormat="1" applyFont="1" applyFill="1" applyBorder="1" applyProtection="1">
      <protection locked="0"/>
    </xf>
    <xf numFmtId="0" fontId="64" fillId="0" borderId="1" xfId="23" applyFont="1" applyFill="1" applyBorder="1" applyAlignment="1">
      <alignment vertical="top"/>
    </xf>
    <xf numFmtId="0" fontId="70" fillId="36" borderId="49" xfId="0" applyFont="1" applyFill="1" applyBorder="1" applyAlignment="1">
      <alignment wrapText="1"/>
    </xf>
    <xf numFmtId="3" fontId="3" fillId="5" borderId="8" xfId="0" applyNumberFormat="1" applyFont="1" applyFill="1" applyBorder="1"/>
    <xf numFmtId="0" fontId="18" fillId="0" borderId="1" xfId="0" applyFont="1" applyBorder="1" applyAlignment="1">
      <alignment wrapText="1"/>
    </xf>
    <xf numFmtId="0" fontId="18" fillId="0" borderId="1" xfId="0" applyFont="1" applyBorder="1" applyAlignment="1">
      <alignment horizontal="justify" vertical="center"/>
    </xf>
    <xf numFmtId="0" fontId="71" fillId="0" borderId="50" xfId="0" applyFont="1" applyBorder="1" applyAlignment="1">
      <alignment horizontal="center" wrapText="1"/>
    </xf>
    <xf numFmtId="0" fontId="71" fillId="0" borderId="26" xfId="0" applyFont="1" applyBorder="1" applyAlignment="1">
      <alignment horizontal="center" wrapText="1"/>
    </xf>
    <xf numFmtId="0" fontId="72" fillId="36" borderId="35" xfId="0" applyFont="1" applyFill="1" applyBorder="1" applyAlignment="1">
      <alignment wrapText="1"/>
    </xf>
    <xf numFmtId="0" fontId="71" fillId="36" borderId="33" xfId="0" applyFont="1" applyFill="1" applyBorder="1" applyAlignment="1">
      <alignment wrapText="1"/>
    </xf>
    <xf numFmtId="3" fontId="18" fillId="0" borderId="7" xfId="0" applyNumberFormat="1" applyFont="1" applyBorder="1" applyAlignment="1">
      <alignment wrapText="1"/>
    </xf>
    <xf numFmtId="3" fontId="72" fillId="36" borderId="35" xfId="0" applyNumberFormat="1" applyFont="1" applyFill="1" applyBorder="1" applyAlignment="1">
      <alignment wrapText="1"/>
    </xf>
    <xf numFmtId="164" fontId="18" fillId="0" borderId="51" xfId="2" applyNumberFormat="1" applyFont="1" applyBorder="1" applyAlignment="1">
      <alignment wrapText="1"/>
    </xf>
    <xf numFmtId="164" fontId="18" fillId="0" borderId="1" xfId="2" applyNumberFormat="1" applyFont="1" applyBorder="1" applyAlignment="1">
      <alignment wrapText="1"/>
    </xf>
    <xf numFmtId="0" fontId="70" fillId="36" borderId="53" xfId="0" applyFont="1" applyFill="1" applyBorder="1" applyAlignment="1">
      <alignment wrapText="1"/>
    </xf>
    <xf numFmtId="0" fontId="70" fillId="36" borderId="1" xfId="0" applyFont="1" applyFill="1" applyBorder="1" applyAlignment="1">
      <alignment horizontal="center" wrapText="1"/>
    </xf>
    <xf numFmtId="0" fontId="0" fillId="0" borderId="56" xfId="0" applyBorder="1"/>
    <xf numFmtId="3" fontId="3" fillId="5" borderId="56" xfId="0" applyNumberFormat="1" applyFont="1" applyFill="1" applyBorder="1"/>
    <xf numFmtId="0" fontId="64" fillId="3" borderId="56" xfId="0" applyFont="1" applyFill="1" applyBorder="1" applyProtection="1">
      <protection locked="0"/>
    </xf>
    <xf numFmtId="3" fontId="64" fillId="31" borderId="56" xfId="0" applyNumberFormat="1" applyFont="1" applyFill="1" applyBorder="1" applyProtection="1">
      <protection locked="0"/>
    </xf>
    <xf numFmtId="0" fontId="3" fillId="3" borderId="56" xfId="0" applyFont="1" applyFill="1" applyBorder="1" applyProtection="1">
      <protection locked="0"/>
    </xf>
    <xf numFmtId="3" fontId="32" fillId="9" borderId="56" xfId="0" applyNumberFormat="1" applyFont="1" applyFill="1" applyBorder="1" applyProtection="1">
      <protection locked="0"/>
    </xf>
    <xf numFmtId="169" fontId="75" fillId="0" borderId="56" xfId="2" applyNumberFormat="1" applyFont="1" applyBorder="1" applyAlignment="1">
      <alignment horizontal="center" vertical="center"/>
    </xf>
    <xf numFmtId="3" fontId="76" fillId="9" borderId="56" xfId="0" applyNumberFormat="1" applyFont="1" applyFill="1" applyBorder="1" applyProtection="1">
      <protection locked="0"/>
    </xf>
    <xf numFmtId="3" fontId="76" fillId="5" borderId="1" xfId="0" applyNumberFormat="1" applyFont="1" applyFill="1" applyBorder="1"/>
    <xf numFmtId="3" fontId="77" fillId="5" borderId="1" xfId="0" applyNumberFormat="1" applyFont="1" applyFill="1" applyBorder="1"/>
    <xf numFmtId="3" fontId="77" fillId="5" borderId="4" xfId="0" applyNumberFormat="1" applyFont="1" applyFill="1" applyBorder="1"/>
    <xf numFmtId="3" fontId="77" fillId="5" borderId="56" xfId="0" applyNumberFormat="1" applyFont="1" applyFill="1" applyBorder="1"/>
    <xf numFmtId="0" fontId="75" fillId="0" borderId="56" xfId="0" applyFont="1" applyFill="1" applyBorder="1" applyAlignment="1">
      <alignment vertical="center" wrapText="1"/>
    </xf>
    <xf numFmtId="0" fontId="78" fillId="0" borderId="1" xfId="22" applyFont="1" applyFill="1" applyBorder="1" applyAlignment="1">
      <alignment horizontal="left" vertical="top" wrapText="1"/>
    </xf>
    <xf numFmtId="0" fontId="3" fillId="0" borderId="0" xfId="0" applyFont="1" applyAlignment="1">
      <alignment horizontal="left" vertical="top" wrapText="1"/>
    </xf>
    <xf numFmtId="0" fontId="31" fillId="0" borderId="0" xfId="0" applyFont="1" applyAlignment="1">
      <alignment horizontal="left" vertical="top" wrapText="1"/>
    </xf>
    <xf numFmtId="0" fontId="7" fillId="0" borderId="0" xfId="0" applyFont="1" applyAlignment="1">
      <alignment horizontal="left" vertical="top" wrapText="1"/>
    </xf>
    <xf numFmtId="0" fontId="5" fillId="0" borderId="4" xfId="0"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168" fontId="5" fillId="9" borderId="4" xfId="0" applyNumberFormat="1" applyFont="1" applyFill="1" applyBorder="1" applyAlignment="1" applyProtection="1">
      <alignment horizontal="center"/>
      <protection locked="0"/>
    </xf>
    <xf numFmtId="168" fontId="5" fillId="9" borderId="6" xfId="0" applyNumberFormat="1" applyFont="1" applyFill="1" applyBorder="1" applyAlignment="1" applyProtection="1">
      <alignment horizontal="center"/>
      <protection locked="0"/>
    </xf>
    <xf numFmtId="0" fontId="5" fillId="9" borderId="4" xfId="0" applyFont="1" applyFill="1" applyBorder="1" applyAlignment="1" applyProtection="1">
      <alignment horizontal="center"/>
      <protection locked="0"/>
    </xf>
    <xf numFmtId="0" fontId="5" fillId="9" borderId="5" xfId="0" applyFont="1" applyFill="1" applyBorder="1" applyAlignment="1" applyProtection="1">
      <alignment horizontal="center"/>
      <protection locked="0"/>
    </xf>
    <xf numFmtId="0" fontId="5" fillId="9" borderId="6" xfId="0" applyFont="1" applyFill="1" applyBorder="1" applyAlignment="1" applyProtection="1">
      <alignment horizontal="center"/>
      <protection locked="0"/>
    </xf>
    <xf numFmtId="0" fontId="5" fillId="5" borderId="4"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1" fontId="7" fillId="4" borderId="1" xfId="0" applyNumberFormat="1" applyFont="1" applyFill="1" applyBorder="1" applyAlignment="1" applyProtection="1">
      <alignment horizontal="center" vertical="center"/>
      <protection hidden="1"/>
    </xf>
    <xf numFmtId="1" fontId="7" fillId="4" borderId="3" xfId="0" applyNumberFormat="1" applyFont="1" applyFill="1" applyBorder="1" applyAlignment="1" applyProtection="1">
      <alignment horizontal="center" vertical="center"/>
      <protection hidden="1"/>
    </xf>
    <xf numFmtId="1" fontId="7" fillId="4" borderId="8" xfId="0" applyNumberFormat="1" applyFont="1" applyFill="1" applyBorder="1" applyAlignment="1" applyProtection="1">
      <alignment horizontal="center" vertical="center"/>
      <protection hidden="1"/>
    </xf>
    <xf numFmtId="1" fontId="7" fillId="4" borderId="7" xfId="0" applyNumberFormat="1" applyFont="1" applyFill="1" applyBorder="1" applyAlignment="1" applyProtection="1">
      <alignment horizontal="center" vertical="center"/>
      <protection hidden="1"/>
    </xf>
    <xf numFmtId="1" fontId="5" fillId="5" borderId="35" xfId="0" applyNumberFormat="1" applyFont="1" applyFill="1" applyBorder="1" applyAlignment="1" applyProtection="1">
      <alignment horizontal="center"/>
    </xf>
    <xf numFmtId="1" fontId="5" fillId="5" borderId="39" xfId="0" applyNumberFormat="1" applyFont="1" applyFill="1" applyBorder="1" applyAlignment="1" applyProtection="1">
      <alignment horizontal="center"/>
    </xf>
    <xf numFmtId="1" fontId="7" fillId="4" borderId="1" xfId="0" applyNumberFormat="1" applyFont="1" applyFill="1" applyBorder="1" applyAlignment="1">
      <alignment horizontal="center" vertical="center"/>
    </xf>
    <xf numFmtId="1" fontId="7" fillId="4" borderId="3" xfId="0" applyNumberFormat="1" applyFont="1" applyFill="1" applyBorder="1" applyAlignment="1">
      <alignment horizontal="center" vertical="center"/>
    </xf>
    <xf numFmtId="1" fontId="7" fillId="4" borderId="8" xfId="0" applyNumberFormat="1" applyFont="1" applyFill="1" applyBorder="1" applyAlignment="1">
      <alignment horizontal="center" vertical="center"/>
    </xf>
    <xf numFmtId="1" fontId="7" fillId="4" borderId="7" xfId="0" applyNumberFormat="1" applyFont="1" applyFill="1" applyBorder="1" applyAlignment="1">
      <alignment horizontal="center" vertical="center"/>
    </xf>
    <xf numFmtId="1" fontId="5" fillId="4" borderId="30" xfId="0" applyNumberFormat="1" applyFont="1" applyFill="1" applyBorder="1" applyAlignment="1" applyProtection="1">
      <alignment horizontal="center"/>
    </xf>
    <xf numFmtId="1" fontId="5" fillId="4" borderId="31" xfId="0" applyNumberFormat="1" applyFont="1" applyFill="1" applyBorder="1" applyAlignment="1" applyProtection="1">
      <alignment horizontal="center"/>
    </xf>
    <xf numFmtId="1" fontId="5" fillId="4" borderId="32" xfId="0" applyNumberFormat="1" applyFont="1" applyFill="1" applyBorder="1" applyAlignment="1" applyProtection="1">
      <alignment horizontal="center"/>
    </xf>
    <xf numFmtId="1" fontId="5" fillId="5" borderId="33" xfId="0" applyNumberFormat="1" applyFont="1" applyFill="1" applyBorder="1" applyAlignment="1" applyProtection="1">
      <alignment horizontal="center"/>
    </xf>
    <xf numFmtId="1" fontId="5" fillId="5" borderId="34" xfId="0" applyNumberFormat="1" applyFont="1" applyFill="1" applyBorder="1" applyAlignment="1" applyProtection="1">
      <alignment horizontal="center"/>
    </xf>
    <xf numFmtId="1" fontId="5" fillId="5" borderId="29" xfId="0" applyNumberFormat="1" applyFont="1" applyFill="1" applyBorder="1" applyAlignment="1" applyProtection="1">
      <alignment horizontal="center"/>
    </xf>
    <xf numFmtId="1" fontId="5" fillId="5" borderId="14" xfId="0" applyNumberFormat="1" applyFont="1" applyFill="1" applyBorder="1" applyAlignment="1" applyProtection="1">
      <alignment horizontal="center"/>
    </xf>
    <xf numFmtId="1" fontId="5" fillId="5" borderId="3" xfId="0" applyNumberFormat="1" applyFont="1" applyFill="1" applyBorder="1" applyAlignment="1" applyProtection="1">
      <alignment horizontal="center"/>
    </xf>
    <xf numFmtId="1" fontId="5" fillId="5" borderId="38" xfId="0" applyNumberFormat="1" applyFont="1" applyFill="1" applyBorder="1" applyAlignment="1" applyProtection="1">
      <alignment horizontal="center"/>
    </xf>
    <xf numFmtId="1" fontId="5" fillId="5" borderId="26" xfId="0" applyNumberFormat="1" applyFont="1" applyFill="1" applyBorder="1" applyAlignment="1" applyProtection="1">
      <alignment horizontal="center"/>
    </xf>
    <xf numFmtId="1" fontId="5" fillId="5" borderId="6" xfId="0" applyNumberFormat="1" applyFont="1" applyFill="1" applyBorder="1" applyAlignment="1" applyProtection="1">
      <alignment horizontal="center"/>
    </xf>
    <xf numFmtId="1" fontId="5" fillId="5" borderId="1" xfId="0" applyNumberFormat="1" applyFont="1" applyFill="1" applyBorder="1" applyAlignment="1" applyProtection="1">
      <alignment horizontal="center"/>
    </xf>
    <xf numFmtId="1" fontId="5" fillId="5" borderId="37" xfId="0" applyNumberFormat="1" applyFont="1" applyFill="1" applyBorder="1" applyAlignment="1" applyProtection="1">
      <alignment horizontal="center"/>
    </xf>
    <xf numFmtId="1" fontId="5" fillId="0" borderId="0" xfId="0" applyNumberFormat="1" applyFont="1" applyAlignment="1">
      <alignment horizontal="center"/>
    </xf>
    <xf numFmtId="0" fontId="5" fillId="0" borderId="0" xfId="0" applyFont="1" applyAlignment="1">
      <alignment horizontal="center"/>
    </xf>
    <xf numFmtId="1" fontId="2" fillId="4" borderId="21" xfId="0" applyNumberFormat="1" applyFont="1" applyFill="1" applyBorder="1" applyAlignment="1" applyProtection="1">
      <alignment horizontal="center"/>
    </xf>
    <xf numFmtId="1" fontId="2" fillId="4" borderId="19" xfId="0" applyNumberFormat="1" applyFont="1" applyFill="1" applyBorder="1" applyAlignment="1" applyProtection="1">
      <alignment horizontal="center"/>
    </xf>
    <xf numFmtId="1" fontId="5" fillId="5" borderId="23" xfId="0" applyNumberFormat="1" applyFont="1" applyFill="1" applyBorder="1" applyAlignment="1" applyProtection="1">
      <alignment horizontal="center"/>
    </xf>
    <xf numFmtId="1" fontId="5" fillId="5" borderId="24" xfId="0" applyNumberFormat="1" applyFont="1" applyFill="1" applyBorder="1" applyAlignment="1" applyProtection="1">
      <alignment horizontal="center"/>
    </xf>
    <xf numFmtId="1" fontId="5" fillId="5" borderId="25" xfId="0" applyNumberFormat="1" applyFont="1" applyFill="1" applyBorder="1" applyAlignment="1" applyProtection="1">
      <alignment horizontal="center"/>
    </xf>
    <xf numFmtId="1" fontId="5" fillId="5" borderId="36" xfId="0" applyNumberFormat="1" applyFont="1" applyFill="1" applyBorder="1" applyAlignment="1" applyProtection="1">
      <alignment horizontal="center"/>
    </xf>
    <xf numFmtId="1" fontId="2" fillId="4" borderId="17" xfId="0" applyNumberFormat="1" applyFont="1" applyFill="1" applyBorder="1" applyAlignment="1" applyProtection="1">
      <alignment horizontal="center" vertical="center"/>
    </xf>
    <xf numFmtId="1" fontId="2" fillId="4" borderId="18" xfId="0" applyNumberFormat="1" applyFont="1" applyFill="1" applyBorder="1" applyAlignment="1" applyProtection="1">
      <alignment horizontal="center" vertical="center"/>
    </xf>
    <xf numFmtId="1" fontId="2" fillId="4" borderId="19" xfId="0" applyNumberFormat="1" applyFont="1" applyFill="1" applyBorder="1" applyAlignment="1" applyProtection="1">
      <alignment horizontal="center" vertical="center"/>
    </xf>
    <xf numFmtId="1" fontId="2" fillId="4" borderId="17" xfId="0" applyNumberFormat="1" applyFont="1" applyFill="1" applyBorder="1" applyAlignment="1" applyProtection="1">
      <alignment horizontal="center"/>
    </xf>
    <xf numFmtId="1" fontId="2" fillId="4" borderId="18" xfId="0" applyNumberFormat="1" applyFont="1" applyFill="1" applyBorder="1" applyAlignment="1" applyProtection="1">
      <alignment horizontal="center"/>
    </xf>
    <xf numFmtId="1" fontId="2" fillId="4" borderId="20" xfId="0" applyNumberFormat="1" applyFont="1" applyFill="1" applyBorder="1" applyAlignment="1" applyProtection="1">
      <alignment horizontal="center"/>
    </xf>
    <xf numFmtId="1" fontId="7" fillId="4" borderId="1" xfId="0" applyNumberFormat="1" applyFont="1" applyFill="1" applyBorder="1" applyAlignment="1">
      <alignment horizontal="center"/>
    </xf>
    <xf numFmtId="1" fontId="31" fillId="4" borderId="1" xfId="0" applyNumberFormat="1" applyFont="1" applyFill="1" applyBorder="1" applyAlignment="1">
      <alignment horizontal="center"/>
    </xf>
    <xf numFmtId="0" fontId="7" fillId="4" borderId="3"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3" xfId="0" applyFont="1" applyFill="1" applyBorder="1" applyAlignment="1">
      <alignment horizontal="center" vertical="center" wrapText="1" shrinkToFit="1"/>
    </xf>
    <xf numFmtId="0" fontId="7" fillId="4" borderId="7" xfId="0" applyFont="1" applyFill="1" applyBorder="1" applyAlignment="1">
      <alignment horizontal="center" vertical="center" wrapText="1" shrinkToFit="1"/>
    </xf>
    <xf numFmtId="0" fontId="64" fillId="3" borderId="3" xfId="0" applyFont="1" applyFill="1" applyBorder="1" applyAlignment="1" applyProtection="1">
      <alignment horizontal="center" vertical="center" wrapText="1"/>
      <protection locked="0"/>
    </xf>
    <xf numFmtId="0" fontId="64" fillId="3" borderId="7" xfId="0" applyFont="1" applyFill="1" applyBorder="1" applyAlignment="1" applyProtection="1">
      <alignment horizontal="center" vertical="center" wrapText="1"/>
      <protection locked="0"/>
    </xf>
    <xf numFmtId="0" fontId="64" fillId="0" borderId="3" xfId="22" applyFont="1" applyFill="1" applyBorder="1" applyAlignment="1">
      <alignment horizontal="center" vertical="top" wrapText="1"/>
    </xf>
    <xf numFmtId="0" fontId="64" fillId="0" borderId="7" xfId="22" applyFont="1" applyFill="1" applyBorder="1" applyAlignment="1">
      <alignment horizontal="center" vertical="top" wrapText="1"/>
    </xf>
    <xf numFmtId="0" fontId="64" fillId="0" borderId="3" xfId="23" applyFont="1" applyFill="1" applyBorder="1" applyAlignment="1">
      <alignment horizontal="center" vertical="top" wrapText="1"/>
    </xf>
    <xf numFmtId="0" fontId="64" fillId="0" borderId="7" xfId="23" applyFont="1" applyFill="1" applyBorder="1" applyAlignment="1">
      <alignment horizontal="center" vertical="top" wrapText="1"/>
    </xf>
    <xf numFmtId="0" fontId="65" fillId="0" borderId="3" xfId="23" applyFont="1" applyBorder="1" applyAlignment="1">
      <alignment horizontal="center" vertical="center" wrapText="1"/>
    </xf>
    <xf numFmtId="0" fontId="65" fillId="0" borderId="7" xfId="23" applyFont="1" applyBorder="1" applyAlignment="1">
      <alignment horizontal="center" vertical="center" wrapText="1"/>
    </xf>
    <xf numFmtId="0" fontId="64" fillId="3" borderId="3" xfId="0" applyFont="1" applyFill="1" applyBorder="1" applyAlignment="1" applyProtection="1">
      <alignment horizontal="center"/>
      <protection locked="0"/>
    </xf>
    <xf numFmtId="0" fontId="64" fillId="3" borderId="7"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shrinkToFit="1"/>
    </xf>
    <xf numFmtId="165" fontId="6" fillId="10" borderId="1" xfId="3" applyFont="1" applyFill="1" applyBorder="1" applyAlignment="1">
      <alignment horizontal="center" vertical="center"/>
    </xf>
    <xf numFmtId="0" fontId="22" fillId="4" borderId="1" xfId="0" applyFont="1" applyFill="1" applyBorder="1" applyAlignment="1">
      <alignment horizontal="center"/>
    </xf>
    <xf numFmtId="0" fontId="22" fillId="4" borderId="1" xfId="0" applyFont="1" applyFill="1" applyBorder="1" applyAlignment="1">
      <alignment horizontal="center" vertical="center" wrapText="1"/>
    </xf>
    <xf numFmtId="0" fontId="22" fillId="4" borderId="7" xfId="0" applyFont="1" applyFill="1" applyBorder="1" applyAlignment="1">
      <alignment horizontal="center"/>
    </xf>
    <xf numFmtId="0" fontId="6" fillId="5" borderId="1" xfId="0" applyFont="1" applyFill="1" applyBorder="1" applyAlignment="1">
      <alignment horizontal="left"/>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4" xfId="0" applyFont="1" applyFill="1" applyBorder="1" applyAlignment="1">
      <alignment horizontal="left" vertical="center"/>
    </xf>
    <xf numFmtId="0" fontId="6" fillId="5" borderId="6" xfId="0" applyFont="1" applyFill="1" applyBorder="1" applyAlignment="1">
      <alignment horizontal="left" vertical="center"/>
    </xf>
    <xf numFmtId="0" fontId="23" fillId="0" borderId="0" xfId="0" applyFont="1" applyBorder="1" applyAlignment="1">
      <alignment horizontal="left"/>
    </xf>
    <xf numFmtId="0" fontId="22" fillId="4" borderId="1" xfId="0" applyFont="1" applyFill="1" applyBorder="1" applyAlignment="1">
      <alignment horizontal="center" vertical="center"/>
    </xf>
    <xf numFmtId="0" fontId="22" fillId="4" borderId="1" xfId="0" applyFont="1" applyFill="1" applyBorder="1" applyAlignment="1">
      <alignment horizontal="left"/>
    </xf>
    <xf numFmtId="0" fontId="6" fillId="4" borderId="1" xfId="0" applyFont="1" applyFill="1" applyBorder="1" applyAlignment="1">
      <alignment horizontal="center"/>
    </xf>
    <xf numFmtId="0" fontId="8" fillId="6" borderId="9" xfId="0" applyFont="1" applyFill="1" applyBorder="1" applyAlignment="1">
      <alignment horizontal="center" vertical="center" wrapText="1"/>
    </xf>
    <xf numFmtId="0" fontId="9" fillId="7" borderId="9" xfId="0" applyFont="1" applyFill="1" applyBorder="1" applyAlignment="1">
      <alignment vertical="center" wrapText="1"/>
    </xf>
    <xf numFmtId="1" fontId="7" fillId="4" borderId="4" xfId="0" applyNumberFormat="1" applyFont="1" applyFill="1" applyBorder="1" applyAlignment="1">
      <alignment horizontal="center" vertical="center"/>
    </xf>
    <xf numFmtId="1" fontId="7" fillId="4" borderId="5" xfId="0" applyNumberFormat="1" applyFont="1" applyFill="1" applyBorder="1" applyAlignment="1">
      <alignment horizontal="center" vertical="center"/>
    </xf>
    <xf numFmtId="1" fontId="7" fillId="4" borderId="6" xfId="0" applyNumberFormat="1" applyFont="1" applyFill="1" applyBorder="1" applyAlignment="1">
      <alignment horizontal="center" vertical="center"/>
    </xf>
    <xf numFmtId="0" fontId="70" fillId="36" borderId="54" xfId="0" applyFont="1" applyFill="1" applyBorder="1" applyAlignment="1">
      <alignment horizontal="center" wrapText="1"/>
    </xf>
    <xf numFmtId="0" fontId="70" fillId="36" borderId="55" xfId="0" applyFont="1" applyFill="1" applyBorder="1" applyAlignment="1">
      <alignment horizontal="center" wrapText="1"/>
    </xf>
    <xf numFmtId="0" fontId="70" fillId="36" borderId="52" xfId="0" applyFont="1" applyFill="1" applyBorder="1" applyAlignment="1">
      <alignment wrapText="1"/>
    </xf>
    <xf numFmtId="0" fontId="70" fillId="36" borderId="7" xfId="0" applyFont="1" applyFill="1" applyBorder="1" applyAlignment="1">
      <alignment wrapText="1"/>
    </xf>
  </cellXfs>
  <cellStyles count="47">
    <cellStyle name="20% - アクセント 1" xfId="11"/>
    <cellStyle name="20% - アクセント 2" xfId="12"/>
    <cellStyle name="20% - アクセント 3" xfId="5"/>
    <cellStyle name="20% - アクセント 4" xfId="13"/>
    <cellStyle name="20% - アクセント 5" xfId="15"/>
    <cellStyle name="20% - アクセント 6" xfId="17"/>
    <cellStyle name="40% - アクセント 1" xfId="1"/>
    <cellStyle name="40% - アクセント 2" xfId="6"/>
    <cellStyle name="40% - アクセント 3" xfId="7"/>
    <cellStyle name="40% - アクセント 4" xfId="8"/>
    <cellStyle name="40% - アクセント 5" xfId="9"/>
    <cellStyle name="40% - アクセント 6" xfId="10"/>
    <cellStyle name="60% - アクセント 1" xfId="14"/>
    <cellStyle name="60% - アクセント 2" xfId="16"/>
    <cellStyle name="60% - アクセント 3" xfId="18"/>
    <cellStyle name="60% - アクセント 4" xfId="19"/>
    <cellStyle name="60% - アクセント 5" xfId="20"/>
    <cellStyle name="60% - アクセント 6" xfId="21"/>
    <cellStyle name="Milliers" xfId="2" builtinId="3"/>
    <cellStyle name="Milliers [0]" xfId="3" builtinId="6"/>
    <cellStyle name="Normal" xfId="0" builtinId="0"/>
    <cellStyle name="Normal_Budget" xfId="22"/>
    <cellStyle name="Normal_Copy of Budget détaillé PSI MTN 2011_2015_5012011" xfId="23"/>
    <cellStyle name="Normal_Sheet1" xfId="24"/>
    <cellStyle name="アクセント 1" xfId="25"/>
    <cellStyle name="アクセント 2" xfId="26"/>
    <cellStyle name="アクセント 3" xfId="27"/>
    <cellStyle name="アクセント 4" xfId="28"/>
    <cellStyle name="アクセント 5" xfId="29"/>
    <cellStyle name="アクセント 6" xfId="30"/>
    <cellStyle name="タイトル" xfId="31"/>
    <cellStyle name="チェック セル" xfId="33"/>
    <cellStyle name="どちらでもない" xfId="34"/>
    <cellStyle name="メモ" xfId="35"/>
    <cellStyle name="リンク セル" xfId="36"/>
    <cellStyle name="入力" xfId="32"/>
    <cellStyle name="出力" xfId="37"/>
    <cellStyle name="悪い" xfId="38"/>
    <cellStyle name="良い" xfId="4"/>
    <cellStyle name="見出し 1" xfId="39"/>
    <cellStyle name="見出し 2" xfId="40"/>
    <cellStyle name="見出し 3" xfId="41"/>
    <cellStyle name="見出し 4" xfId="42"/>
    <cellStyle name="計算" xfId="43"/>
    <cellStyle name="説明文" xfId="44"/>
    <cellStyle name="警告文" xfId="45"/>
    <cellStyle name="集計" xfId="46"/>
  </cellStyles>
  <dxfs count="0"/>
  <tableStyles count="0" defaultTableStyle="TableStyleMedium9" defaultPivotStyle="PivotStyleLight16"/>
  <colors>
    <mruColors>
      <color rgb="FFCCFFFF"/>
      <color rgb="FFFF0000"/>
      <color rgb="FFE26B0A"/>
      <color rgb="FFFFFFFF"/>
      <color rgb="FFFABF8F"/>
      <color rgb="FFA6A6A6"/>
      <color rgb="FF969696"/>
      <color rgb="FF99CCFF"/>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fr-FR" sz="1600" b="1" i="0" u="none" strike="noStrike" kern="1200" baseline="0">
                <a:solidFill>
                  <a:srgbClr val="000000">
                    <a:alpha val="100000"/>
                  </a:srgbClr>
                </a:solidFill>
                <a:latin typeface="Calibri" panose="020F0502020204030204" charset="0"/>
                <a:ea typeface="Calibri" panose="020F0502020204030204" charset="0"/>
                <a:cs typeface="Calibri" panose="020F0502020204030204" charset="0"/>
              </a:defRPr>
            </a:pPr>
            <a:r>
              <a:rPr lang="fr-FR"/>
              <a:t>Cost by key acticity (Year 1 without PC drug cost)</a:t>
            </a:r>
            <a:endParaRPr lang="fr-FR" sz="1600" b="1" i="0" u="none" strike="noStrike" baseline="0">
              <a:solidFill>
                <a:srgbClr val="000000">
                  <a:alpha val="100000"/>
                </a:srgbClr>
              </a:solidFill>
              <a:latin typeface="Calibri" panose="020F0502020204030204" charset="0"/>
              <a:ea typeface="Calibri" panose="020F0502020204030204" charset="0"/>
              <a:cs typeface="Calibri" panose="020F0502020204030204" charset="0"/>
            </a:endParaRPr>
          </a:p>
        </c:rich>
      </c:tx>
      <c:overlay val="0"/>
      <c:spPr>
        <a:noFill/>
        <a:ln w="25400">
          <a:noFill/>
        </a:ln>
      </c:spPr>
    </c:title>
    <c:autoTitleDeleted val="0"/>
    <c:plotArea>
      <c:layout>
        <c:manualLayout>
          <c:layoutTarget val="inner"/>
          <c:xMode val="edge"/>
          <c:yMode val="edge"/>
          <c:x val="8.8918871498497906E-2"/>
          <c:y val="0.306515647082576"/>
          <c:w val="0.39161333239345197"/>
          <c:h val="0.55363852389177104"/>
        </c:manualLayout>
      </c:layout>
      <c:pieChart>
        <c:varyColors val="1"/>
        <c:ser>
          <c:idx val="0"/>
          <c:order val="0"/>
          <c:dPt>
            <c:idx val="0"/>
            <c:bubble3D val="0"/>
            <c:spPr>
              <a:solidFill>
                <a:srgbClr val="333399"/>
              </a:solidFill>
              <a:ln w="25400">
                <a:noFill/>
              </a:ln>
            </c:spPr>
            <c:extLst xmlns:c16r2="http://schemas.microsoft.com/office/drawing/2015/06/chart">
              <c:ext xmlns:c16="http://schemas.microsoft.com/office/drawing/2014/chart" uri="{C3380CC4-5D6E-409C-BE32-E72D297353CC}">
                <c16:uniqueId val="{00000001-35F3-48E4-8602-4068679BECBB}"/>
              </c:ext>
            </c:extLst>
          </c:dPt>
          <c:dPt>
            <c:idx val="1"/>
            <c:bubble3D val="0"/>
            <c:extLst xmlns:c16r2="http://schemas.microsoft.com/office/drawing/2015/06/chart">
              <c:ext xmlns:c16="http://schemas.microsoft.com/office/drawing/2014/chart" uri="{C3380CC4-5D6E-409C-BE32-E72D297353CC}">
                <c16:uniqueId val="{00000002-35F3-48E4-8602-4068679BECBB}"/>
              </c:ext>
            </c:extLst>
          </c:dPt>
          <c:dPt>
            <c:idx val="2"/>
            <c:bubble3D val="0"/>
            <c:extLst xmlns:c16r2="http://schemas.microsoft.com/office/drawing/2015/06/chart">
              <c:ext xmlns:c16="http://schemas.microsoft.com/office/drawing/2014/chart" uri="{C3380CC4-5D6E-409C-BE32-E72D297353CC}">
                <c16:uniqueId val="{00000003-35F3-48E4-8602-4068679BECBB}"/>
              </c:ext>
            </c:extLst>
          </c:dPt>
          <c:dPt>
            <c:idx val="3"/>
            <c:bubble3D val="0"/>
            <c:spPr>
              <a:solidFill>
                <a:srgbClr val="FF8080"/>
              </a:solidFill>
              <a:ln w="25400">
                <a:noFill/>
              </a:ln>
            </c:spPr>
            <c:extLst xmlns:c16r2="http://schemas.microsoft.com/office/drawing/2015/06/chart">
              <c:ext xmlns:c16="http://schemas.microsoft.com/office/drawing/2014/chart" uri="{C3380CC4-5D6E-409C-BE32-E72D297353CC}">
                <c16:uniqueId val="{00000005-35F3-48E4-8602-4068679BECBB}"/>
              </c:ext>
            </c:extLst>
          </c:dPt>
          <c:dPt>
            <c:idx val="4"/>
            <c:bubble3D val="0"/>
            <c:spPr>
              <a:solidFill>
                <a:srgbClr val="FF9900"/>
              </a:solidFill>
              <a:ln w="25400">
                <a:noFill/>
              </a:ln>
            </c:spPr>
            <c:extLst xmlns:c16r2="http://schemas.microsoft.com/office/drawing/2015/06/chart">
              <c:ext xmlns:c16="http://schemas.microsoft.com/office/drawing/2014/chart" uri="{C3380CC4-5D6E-409C-BE32-E72D297353CC}">
                <c16:uniqueId val="{00000007-35F3-48E4-8602-4068679BECBB}"/>
              </c:ext>
            </c:extLst>
          </c:dPt>
          <c:dPt>
            <c:idx val="5"/>
            <c:bubble3D val="0"/>
            <c:extLst xmlns:c16r2="http://schemas.microsoft.com/office/drawing/2015/06/chart">
              <c:ext xmlns:c16="http://schemas.microsoft.com/office/drawing/2014/chart" uri="{C3380CC4-5D6E-409C-BE32-E72D297353CC}">
                <c16:uniqueId val="{00000008-35F3-48E4-8602-4068679BECBB}"/>
              </c:ext>
            </c:extLst>
          </c:dPt>
          <c:dPt>
            <c:idx val="6"/>
            <c:bubble3D val="0"/>
            <c:spPr>
              <a:solidFill>
                <a:srgbClr val="99CCFF"/>
              </a:solidFill>
              <a:ln w="25400">
                <a:noFill/>
              </a:ln>
            </c:spPr>
            <c:extLst xmlns:c16r2="http://schemas.microsoft.com/office/drawing/2015/06/chart">
              <c:ext xmlns:c16="http://schemas.microsoft.com/office/drawing/2014/chart" uri="{C3380CC4-5D6E-409C-BE32-E72D297353CC}">
                <c16:uniqueId val="{0000000A-35F3-48E4-8602-4068679BECBB}"/>
              </c:ext>
            </c:extLst>
          </c:dPt>
          <c:dPt>
            <c:idx val="7"/>
            <c:bubble3D val="0"/>
            <c:extLst xmlns:c16r2="http://schemas.microsoft.com/office/drawing/2015/06/chart">
              <c:ext xmlns:c16="http://schemas.microsoft.com/office/drawing/2014/chart" uri="{C3380CC4-5D6E-409C-BE32-E72D297353CC}">
                <c16:uniqueId val="{0000000B-35F3-48E4-8602-4068679BECBB}"/>
              </c:ext>
            </c:extLst>
          </c:dPt>
          <c:dPt>
            <c:idx val="8"/>
            <c:bubble3D val="0"/>
            <c:extLst xmlns:c16r2="http://schemas.microsoft.com/office/drawing/2015/06/chart">
              <c:ext xmlns:c16="http://schemas.microsoft.com/office/drawing/2014/chart" uri="{C3380CC4-5D6E-409C-BE32-E72D297353CC}">
                <c16:uniqueId val="{0000000C-35F3-48E4-8602-4068679BECBB}"/>
              </c:ext>
            </c:extLst>
          </c:dPt>
          <c:dPt>
            <c:idx val="9"/>
            <c:bubble3D val="0"/>
            <c:extLst xmlns:c16r2="http://schemas.microsoft.com/office/drawing/2015/06/chart">
              <c:ext xmlns:c16="http://schemas.microsoft.com/office/drawing/2014/chart" uri="{C3380CC4-5D6E-409C-BE32-E72D297353CC}">
                <c16:uniqueId val="{0000000D-35F3-48E4-8602-4068679BECBB}"/>
              </c:ext>
            </c:extLst>
          </c:dPt>
          <c:dPt>
            <c:idx val="10"/>
            <c:bubble3D val="0"/>
            <c:extLst xmlns:c16r2="http://schemas.microsoft.com/office/drawing/2015/06/chart">
              <c:ext xmlns:c16="http://schemas.microsoft.com/office/drawing/2014/chart" uri="{C3380CC4-5D6E-409C-BE32-E72D297353CC}">
                <c16:uniqueId val="{0000000E-35F3-48E4-8602-4068679BECBB}"/>
              </c:ext>
            </c:extLst>
          </c:dPt>
          <c:dLbls>
            <c:numFmt formatCode="0%" sourceLinked="0"/>
            <c:spPr>
              <a:noFill/>
              <a:ln w="25400">
                <a:noFill/>
              </a:ln>
              <a:effectLst/>
            </c:spPr>
            <c:txPr>
              <a:bodyPr rot="0" spcFirstLastPara="0" vertOverflow="ellipsis" vert="horz" wrap="square" lIns="38100" tIns="19050" rIns="38100" bIns="19050" anchor="ctr" anchorCtr="1"/>
              <a:lstStyle/>
              <a:p>
                <a:pPr>
                  <a:defRPr lang="fr-FR" sz="1400" b="1" i="0" u="none" strike="noStrike" kern="1200" baseline="0">
                    <a:solidFill>
                      <a:srgbClr val="000000">
                        <a:alpha val="100000"/>
                      </a:srgbClr>
                    </a:solidFill>
                    <a:latin typeface="Calibri" panose="020F0502020204030204" charset="0"/>
                    <a:ea typeface="Calibri" panose="020F0502020204030204" charset="0"/>
                    <a:cs typeface="Calibri" panose="020F0502020204030204" charset="0"/>
                  </a:defRPr>
                </a:pPr>
                <a:endParaRPr lang="fr-FR"/>
              </a:p>
            </c:txPr>
            <c:dLblPos val="bestFit"/>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xmlns:c16r2="http://schemas.microsoft.com/office/drawing/2015/06/chart">
              <c:ext xmlns:c15="http://schemas.microsoft.com/office/drawing/2012/chart" uri="{CE6537A1-D6FC-4f65-9D91-7224C49458BB}"/>
            </c:extLst>
          </c:dLbls>
          <c:cat>
            <c:strRef>
              <c:f>'Résumé et gaps'!$B$22:$B$32</c:f>
              <c:strCache>
                <c:ptCount val="11"/>
                <c:pt idx="0">
                  <c:v>Planification stratégique et opérationnelle</c:v>
                </c:pt>
                <c:pt idx="1">
                  <c:v>Initiatives de mobilisation de ressources</c:v>
                </c:pt>
                <c:pt idx="2">
                  <c:v>Intégration et liens des plans et des budgets</c:v>
                </c:pt>
                <c:pt idx="3">
                  <c:v>Mise à jour des politiques, des lignes directrices et des outils</c:v>
                </c:pt>
                <c:pt idx="4">
                  <c:v>Mécanismes de coordination</c:v>
                </c:pt>
                <c:pt idx="5">
                  <c:v>Renforcer et favoriser les partenariats</c:v>
                </c:pt>
                <c:pt idx="6">
                  <c:v>Réunions d'examen de haut niveau</c:v>
                </c:pt>
                <c:pt idx="7">
                  <c:v>Plaidoyer et communication</c:v>
                </c:pt>
                <c:pt idx="8">
                  <c:v>Surveillance, supervision et évaluation</c:v>
                </c:pt>
                <c:pt idx="9">
                  <c:v>Surveillance des maladies, réponse et contrôle</c:v>
                </c:pt>
                <c:pt idx="10">
                  <c:v>Recherche opérationnelle</c:v>
                </c:pt>
              </c:strCache>
            </c:strRef>
          </c:cat>
          <c:val>
            <c:numRef>
              <c:f>'Résumé et gaps'!$C$22:$C$32</c:f>
              <c:numCache>
                <c:formatCode>_-* #\ ##0_-;\-* #\ ##0_-;_-*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F-35F3-48E4-8602-4068679BEC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885434155441298"/>
          <c:y val="0.13076949996635001"/>
          <c:w val="0.40100000000000002"/>
          <c:h val="0.85824999999999996"/>
        </c:manualLayout>
      </c:layout>
      <c:overlay val="0"/>
      <c:txPr>
        <a:bodyPr rot="0" spcFirstLastPara="0" vertOverflow="ellipsis" vert="horz" wrap="square" anchor="ctr" anchorCtr="1"/>
        <a:lstStyle/>
        <a:p>
          <a:pPr>
            <a:defRPr lang="fr-FR" sz="735" b="0" i="0" u="none" strike="noStrike" kern="1200" baseline="0">
              <a:solidFill>
                <a:srgbClr val="000000"/>
              </a:solidFill>
              <a:latin typeface="Calibri" panose="020F0502020204030204"/>
              <a:ea typeface="Calibri" panose="020F0502020204030204"/>
              <a:cs typeface="Calibri" panose="020F0502020204030204"/>
            </a:defRPr>
          </a:pPr>
          <a:endParaRPr lang="fr-FR"/>
        </a:p>
      </c:txPr>
    </c:legend>
    <c:plotVisOnly val="1"/>
    <c:dispBlanksAs val="zero"/>
    <c:showDLblsOverMax val="0"/>
  </c:chart>
  <c:txPr>
    <a:bodyPr rot="0" wrap="square" anchor="ctr" anchorCtr="1"/>
    <a:lstStyle/>
    <a:p>
      <a:pPr>
        <a:defRPr lang="fr-FR" sz="1000" b="0" i="0" u="none" strike="noStrike" baseline="0">
          <a:solidFill>
            <a:srgbClr val="000000">
              <a:alpha val="100000"/>
            </a:srgbClr>
          </a:solidFill>
          <a:latin typeface="Calibri" panose="020F0502020204030204" charset="0"/>
          <a:ea typeface="Calibri" panose="020F0502020204030204" charset="0"/>
          <a:cs typeface="Calibri" panose="020F050202020403020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fr-FR" sz="1600" b="1" i="0" u="none" strike="noStrike" kern="1200" baseline="0">
                <a:solidFill>
                  <a:srgbClr val="000000">
                    <a:alpha val="100000"/>
                  </a:srgbClr>
                </a:solidFill>
                <a:latin typeface="Calibri" panose="020F0502020204030204" charset="0"/>
                <a:ea typeface="Calibri" panose="020F0502020204030204" charset="0"/>
                <a:cs typeface="Calibri" panose="020F0502020204030204" charset="0"/>
              </a:defRPr>
            </a:pPr>
            <a:r>
              <a:rPr lang="fr-FR"/>
              <a:t>Financing Profile (1st Year with PC drug cost)</a:t>
            </a:r>
            <a:endParaRPr lang="fr-FR" sz="1600" b="1" i="0" u="none" strike="noStrike" baseline="0">
              <a:solidFill>
                <a:srgbClr val="000000">
                  <a:alpha val="100000"/>
                </a:srgbClr>
              </a:solidFill>
              <a:latin typeface="Calibri" panose="020F0502020204030204" charset="0"/>
              <a:ea typeface="Calibri" panose="020F0502020204030204" charset="0"/>
              <a:cs typeface="Calibri" panose="020F0502020204030204" charset="0"/>
            </a:endParaRPr>
          </a:p>
        </c:rich>
      </c:tx>
      <c:overlay val="0"/>
      <c:spPr>
        <a:noFill/>
        <a:ln w="25400">
          <a:noFill/>
        </a:ln>
      </c:spPr>
    </c:title>
    <c:autoTitleDeleted val="0"/>
    <c:plotArea>
      <c:layout>
        <c:manualLayout>
          <c:layoutTarget val="inner"/>
          <c:xMode val="edge"/>
          <c:yMode val="edge"/>
          <c:x val="0.14005724739205799"/>
          <c:y val="0.226308894932995"/>
          <c:w val="0.46992892217072302"/>
          <c:h val="0.61392306604163605"/>
        </c:manualLayout>
      </c:layout>
      <c:pieChart>
        <c:varyColors val="1"/>
        <c:ser>
          <c:idx val="0"/>
          <c:order val="0"/>
          <c:dPt>
            <c:idx val="0"/>
            <c:bubble3D val="0"/>
            <c:extLst xmlns:c16r2="http://schemas.microsoft.com/office/drawing/2015/06/chart">
              <c:ext xmlns:c16="http://schemas.microsoft.com/office/drawing/2014/chart" uri="{C3380CC4-5D6E-409C-BE32-E72D297353CC}">
                <c16:uniqueId val="{00000000-2AD1-44FC-A95E-557BC820879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2-2AD1-44FC-A95E-557BC8208796}"/>
              </c:ext>
            </c:extLst>
          </c:dPt>
          <c:dPt>
            <c:idx val="2"/>
            <c:bubble3D val="0"/>
            <c:extLst xmlns:c16r2="http://schemas.microsoft.com/office/drawing/2015/06/chart">
              <c:ext xmlns:c16="http://schemas.microsoft.com/office/drawing/2014/chart" uri="{C3380CC4-5D6E-409C-BE32-E72D297353CC}">
                <c16:uniqueId val="{00000003-2AD1-44FC-A95E-557BC8208796}"/>
              </c:ext>
            </c:extLst>
          </c:dPt>
          <c:dPt>
            <c:idx val="3"/>
            <c:bubble3D val="0"/>
            <c:extLst xmlns:c16r2="http://schemas.microsoft.com/office/drawing/2015/06/chart">
              <c:ext xmlns:c16="http://schemas.microsoft.com/office/drawing/2014/chart" uri="{C3380CC4-5D6E-409C-BE32-E72D297353CC}">
                <c16:uniqueId val="{00000004-2AD1-44FC-A95E-557BC8208796}"/>
              </c:ext>
            </c:extLst>
          </c:dPt>
          <c:dPt>
            <c:idx val="4"/>
            <c:bubble3D val="0"/>
            <c:extLst xmlns:c16r2="http://schemas.microsoft.com/office/drawing/2015/06/chart">
              <c:ext xmlns:c16="http://schemas.microsoft.com/office/drawing/2014/chart" uri="{C3380CC4-5D6E-409C-BE32-E72D297353CC}">
                <c16:uniqueId val="{00000005-2AD1-44FC-A95E-557BC8208796}"/>
              </c:ext>
            </c:extLst>
          </c:dPt>
          <c:dPt>
            <c:idx val="5"/>
            <c:bubble3D val="0"/>
            <c:extLst xmlns:c16r2="http://schemas.microsoft.com/office/drawing/2015/06/chart">
              <c:ext xmlns:c16="http://schemas.microsoft.com/office/drawing/2014/chart" uri="{C3380CC4-5D6E-409C-BE32-E72D297353CC}">
                <c16:uniqueId val="{00000006-2AD1-44FC-A95E-557BC8208796}"/>
              </c:ext>
            </c:extLst>
          </c:dPt>
          <c:dPt>
            <c:idx val="6"/>
            <c:bubble3D val="0"/>
            <c:extLst xmlns:c16r2="http://schemas.microsoft.com/office/drawing/2015/06/chart">
              <c:ext xmlns:c16="http://schemas.microsoft.com/office/drawing/2014/chart" uri="{C3380CC4-5D6E-409C-BE32-E72D297353CC}">
                <c16:uniqueId val="{00000007-2AD1-44FC-A95E-557BC8208796}"/>
              </c:ext>
            </c:extLst>
          </c:dPt>
          <c:dPt>
            <c:idx val="7"/>
            <c:bubble3D val="0"/>
            <c:spPr>
              <a:solidFill>
                <a:srgbClr val="C00000"/>
              </a:solidFill>
              <a:ln w="25400">
                <a:noFill/>
              </a:ln>
            </c:spPr>
            <c:extLst xmlns:c16r2="http://schemas.microsoft.com/office/drawing/2015/06/chart">
              <c:ext xmlns:c16="http://schemas.microsoft.com/office/drawing/2014/chart" uri="{C3380CC4-5D6E-409C-BE32-E72D297353CC}">
                <c16:uniqueId val="{00000009-2AD1-44FC-A95E-557BC8208796}"/>
              </c:ext>
            </c:extLst>
          </c:dPt>
          <c:dLbls>
            <c:dLbl>
              <c:idx val="5"/>
              <c:layout>
                <c:manualLayout>
                  <c:x val="0.17147972174401699"/>
                  <c:y val="-2.814197186855180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2AD1-44FC-A95E-557BC8208796}"/>
                </c:ext>
                <c:ext xmlns:c15="http://schemas.microsoft.com/office/drawing/2012/chart" uri="{CE6537A1-D6FC-4f65-9D91-7224C49458BB}"/>
              </c:extLst>
            </c:dLbl>
            <c:numFmt formatCode="0%" sourceLinked="0"/>
            <c:spPr>
              <a:noFill/>
              <a:ln w="25400">
                <a:noFill/>
              </a:ln>
              <a:effectLst/>
            </c:spPr>
            <c:txPr>
              <a:bodyPr rot="0" spcFirstLastPara="0" vertOverflow="ellipsis" vert="horz" wrap="square" lIns="38100" tIns="19050" rIns="38100" bIns="19050" anchor="ctr" anchorCtr="1"/>
              <a:lstStyle/>
              <a:p>
                <a:pPr>
                  <a:defRPr lang="fr-FR" sz="1400" b="1" i="0" u="none" strike="noStrike" kern="1200" baseline="0">
                    <a:solidFill>
                      <a:srgbClr val="000000">
                        <a:alpha val="100000"/>
                      </a:srgbClr>
                    </a:solidFill>
                    <a:latin typeface="Calibri" panose="020F0502020204030204" charset="0"/>
                    <a:ea typeface="Calibri" panose="020F0502020204030204" charset="0"/>
                    <a:cs typeface="Calibri" panose="020F0502020204030204" charset="0"/>
                  </a:defRPr>
                </a:pPr>
                <a:endParaRPr lang="fr-FR"/>
              </a:p>
            </c:txPr>
            <c:dLblPos val="bestFit"/>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xmlns:c16r2="http://schemas.microsoft.com/office/drawing/2015/06/chart">
              <c:ext xmlns:c15="http://schemas.microsoft.com/office/drawing/2012/chart" uri="{CE6537A1-D6FC-4f65-9D91-7224C49458BB}"/>
            </c:extLst>
          </c:dLbls>
          <c:cat>
            <c:strRef>
              <c:f>Financement!$D$43:$K$43</c:f>
              <c:strCache>
                <c:ptCount val="8"/>
                <c:pt idx="0">
                  <c:v>Govt</c:v>
                </c:pt>
                <c:pt idx="1">
                  <c:v>USAID</c:v>
                </c:pt>
                <c:pt idx="2">
                  <c:v>APOC</c:v>
                </c:pt>
                <c:pt idx="3">
                  <c:v>ITI</c:v>
                </c:pt>
                <c:pt idx="4">
                  <c:v>CNTD</c:v>
                </c:pt>
                <c:pt idx="5">
                  <c:v>0</c:v>
                </c:pt>
                <c:pt idx="6">
                  <c:v>0</c:v>
                </c:pt>
                <c:pt idx="7">
                  <c:v>Gap</c:v>
                </c:pt>
              </c:strCache>
            </c:strRef>
          </c:cat>
          <c:val>
            <c:numRef>
              <c:f>Financement!$D$44:$K$44</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A-2AD1-44FC-A95E-557BC820879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8273765934779196"/>
          <c:y val="0.25581419764389901"/>
          <c:w val="0.23824999999999999"/>
          <c:h val="0.54149999999999998"/>
        </c:manualLayout>
      </c:layout>
      <c:overlay val="0"/>
      <c:txPr>
        <a:bodyPr rot="0" spcFirstLastPara="0" vertOverflow="ellipsis" vert="horz" wrap="square" anchor="ctr" anchorCtr="1"/>
        <a:lstStyle/>
        <a:p>
          <a:pPr>
            <a:defRPr lang="fr-FR" sz="965" b="0" i="0" u="none" strike="noStrike" kern="1200" baseline="0">
              <a:solidFill>
                <a:srgbClr val="000000"/>
              </a:solidFill>
              <a:latin typeface="Calibri" panose="020F0502020204030204"/>
              <a:ea typeface="Calibri" panose="020F0502020204030204"/>
              <a:cs typeface="Calibri" panose="020F0502020204030204"/>
            </a:defRPr>
          </a:pPr>
          <a:endParaRPr lang="fr-FR"/>
        </a:p>
      </c:txPr>
    </c:legend>
    <c:plotVisOnly val="1"/>
    <c:dispBlanksAs val="zero"/>
    <c:showDLblsOverMax val="0"/>
  </c:chart>
  <c:txPr>
    <a:bodyPr rot="0" wrap="square" anchor="ctr" anchorCtr="1"/>
    <a:lstStyle/>
    <a:p>
      <a:pPr>
        <a:defRPr lang="fr-FR" sz="1000" b="0" i="0" u="none" strike="noStrike" baseline="0">
          <a:solidFill>
            <a:srgbClr val="000000">
              <a:alpha val="100000"/>
            </a:srgbClr>
          </a:solidFill>
          <a:latin typeface="Calibri" panose="020F0502020204030204" charset="0"/>
          <a:ea typeface="Calibri" panose="020F0502020204030204" charset="0"/>
          <a:cs typeface="Calibri" panose="020F050202020403020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fr-FR" sz="1400" b="1" i="0" u="none" strike="noStrike" kern="1200" baseline="0">
                <a:solidFill>
                  <a:srgbClr val="000000">
                    <a:alpha val="100000"/>
                  </a:srgbClr>
                </a:solidFill>
                <a:latin typeface="Calibri" panose="020F0502020204030204" charset="0"/>
                <a:ea typeface="Calibri" panose="020F0502020204030204" charset="0"/>
                <a:cs typeface="Calibri" panose="020F0502020204030204" charset="0"/>
              </a:defRPr>
            </a:pPr>
            <a:r>
              <a:rPr lang="fr-FR"/>
              <a:t>Projection of resource need without PC drug cost</a:t>
            </a:r>
            <a:endParaRPr lang="fr-FR" sz="1400" b="1" i="0" u="none" strike="noStrike" baseline="0">
              <a:solidFill>
                <a:srgbClr val="000000">
                  <a:alpha val="100000"/>
                </a:srgbClr>
              </a:solidFill>
              <a:latin typeface="Calibri" panose="020F0502020204030204" charset="0"/>
              <a:ea typeface="Calibri" panose="020F0502020204030204" charset="0"/>
              <a:cs typeface="Calibri" panose="020F0502020204030204" charset="0"/>
            </a:endParaRPr>
          </a:p>
        </c:rich>
      </c:tx>
      <c:layout>
        <c:manualLayout>
          <c:xMode val="edge"/>
          <c:yMode val="edge"/>
          <c:x val="0.109911762674403"/>
          <c:y val="3.5316309760345402E-2"/>
        </c:manualLayout>
      </c:layout>
      <c:overlay val="0"/>
      <c:spPr>
        <a:noFill/>
        <a:ln w="25400">
          <a:noFill/>
        </a:ln>
      </c:spPr>
    </c:title>
    <c:autoTitleDeleted val="0"/>
    <c:plotArea>
      <c:layout>
        <c:manualLayout>
          <c:layoutTarget val="inner"/>
          <c:xMode val="edge"/>
          <c:yMode val="edge"/>
          <c:x val="0.145040438466223"/>
          <c:y val="0.156850884293669"/>
          <c:w val="0.426404982398284"/>
          <c:h val="0.72301669421025705"/>
        </c:manualLayout>
      </c:layout>
      <c:barChart>
        <c:barDir val="col"/>
        <c:grouping val="stacked"/>
        <c:varyColors val="0"/>
        <c:ser>
          <c:idx val="0"/>
          <c:order val="0"/>
          <c:tx>
            <c:strRef>
              <c:f>'Résumé et gaps'!$B$26</c:f>
              <c:strCache>
                <c:ptCount val="1"/>
                <c:pt idx="0">
                  <c:v>Mécanismes de coordination</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gaps'!$C$26,'Résumé et gaps'!$E$26,'Résumé et gaps'!$G$26,'Résumé et gaps'!$I$26,'Résumé et gaps'!$K$26)</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6D-4313-89F8-2B029705F97A}"/>
            </c:ext>
          </c:extLst>
        </c:ser>
        <c:ser>
          <c:idx val="1"/>
          <c:order val="1"/>
          <c:tx>
            <c:strRef>
              <c:f>'Résumé et gaps'!$B$27</c:f>
              <c:strCache>
                <c:ptCount val="1"/>
                <c:pt idx="0">
                  <c:v>Renforcer et favoriser les partenariats</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gaps'!$C$27,'Résumé et gaps'!$E$27,'Résumé et gaps'!$G$27,'Résumé et gaps'!$I$27,'Résumé et gaps'!$K$27)</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396D-4313-89F8-2B029705F97A}"/>
            </c:ext>
          </c:extLst>
        </c:ser>
        <c:ser>
          <c:idx val="2"/>
          <c:order val="2"/>
          <c:tx>
            <c:strRef>
              <c:f>'Résumé et gaps'!$B$28</c:f>
              <c:strCache>
                <c:ptCount val="1"/>
                <c:pt idx="0">
                  <c:v>Réunions d'examen de haut niveau</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gaps'!$C$28,'Résumé et gaps'!$E$28,'Résumé et gaps'!$G$28,'Résumé et gaps'!$I$28,'Résumé et gaps'!$K$28)</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396D-4313-89F8-2B029705F97A}"/>
            </c:ext>
          </c:extLst>
        </c:ser>
        <c:ser>
          <c:idx val="3"/>
          <c:order val="3"/>
          <c:tx>
            <c:strRef>
              <c:f>'Résumé et gaps'!$B$29</c:f>
              <c:strCache>
                <c:ptCount val="1"/>
                <c:pt idx="0">
                  <c:v>Plaidoyer et communication</c:v>
                </c:pt>
              </c:strCache>
            </c:strRef>
          </c:tx>
          <c:spPr>
            <a:solidFill>
              <a:srgbClr val="FF8080"/>
            </a:solidFill>
            <a:ln w="25400">
              <a:noFill/>
            </a:ln>
          </c:spPr>
          <c:invertIfNegative val="0"/>
          <c:cat>
            <c:strRef>
              <c:f>'Coût des investissements'!$D$1:$H$2</c:f>
              <c:strCache>
                <c:ptCount val="5"/>
                <c:pt idx="0">
                  <c:v>2018</c:v>
                </c:pt>
                <c:pt idx="1">
                  <c:v>2019</c:v>
                </c:pt>
                <c:pt idx="2">
                  <c:v>2020</c:v>
                </c:pt>
                <c:pt idx="3">
                  <c:v>2021</c:v>
                </c:pt>
                <c:pt idx="4">
                  <c:v>2022</c:v>
                </c:pt>
              </c:strCache>
            </c:strRef>
          </c:cat>
          <c:val>
            <c:numRef>
              <c:f>('Résumé et gaps'!$C$29,'Résumé et gaps'!$E$29,'Résumé et gaps'!$G$29,'Résumé et gaps'!$I$29,'Résumé et gaps'!$K$29)</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396D-4313-89F8-2B029705F97A}"/>
            </c:ext>
          </c:extLst>
        </c:ser>
        <c:ser>
          <c:idx val="5"/>
          <c:order val="4"/>
          <c:tx>
            <c:strRef>
              <c:f>'Résumé et gaps'!$B$22</c:f>
              <c:strCache>
                <c:ptCount val="1"/>
                <c:pt idx="0">
                  <c:v>Planification stratégique et opérationnelle</c:v>
                </c:pt>
              </c:strCache>
            </c:strRef>
          </c:tx>
          <c:spPr>
            <a:solidFill>
              <a:srgbClr val="FFCC00"/>
            </a:solidFill>
            <a:ln w="25400">
              <a:noFill/>
            </a:ln>
          </c:spPr>
          <c:invertIfNegative val="0"/>
          <c:cat>
            <c:strRef>
              <c:f>'Coût des investissements'!$D$1:$H$2</c:f>
              <c:strCache>
                <c:ptCount val="5"/>
                <c:pt idx="0">
                  <c:v>2018</c:v>
                </c:pt>
                <c:pt idx="1">
                  <c:v>2019</c:v>
                </c:pt>
                <c:pt idx="2">
                  <c:v>2020</c:v>
                </c:pt>
                <c:pt idx="3">
                  <c:v>2021</c:v>
                </c:pt>
                <c:pt idx="4">
                  <c:v>2022</c:v>
                </c:pt>
              </c:strCache>
            </c:strRef>
          </c:cat>
          <c:val>
            <c:numRef>
              <c:f>('Résumé et gaps'!$C$22,'Résumé et gaps'!$E$22,'Résumé et gaps'!$G$22,'Résumé et gaps'!$I$22,'Résumé et gaps'!$K$22)</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396D-4313-89F8-2B029705F97A}"/>
            </c:ext>
          </c:extLst>
        </c:ser>
        <c:ser>
          <c:idx val="6"/>
          <c:order val="5"/>
          <c:tx>
            <c:strRef>
              <c:f>'Résumé et gaps'!$B$23</c:f>
              <c:strCache>
                <c:ptCount val="1"/>
                <c:pt idx="0">
                  <c:v>Initiatives de mobilisation de ressources</c:v>
                </c:pt>
              </c:strCache>
            </c:strRef>
          </c:tx>
          <c:spPr>
            <a:solidFill>
              <a:srgbClr val="333399"/>
            </a:solidFill>
            <a:ln w="25400">
              <a:noFill/>
            </a:ln>
          </c:spPr>
          <c:invertIfNegative val="0"/>
          <c:cat>
            <c:strRef>
              <c:f>'Coût des investissements'!$D$1:$H$2</c:f>
              <c:strCache>
                <c:ptCount val="5"/>
                <c:pt idx="0">
                  <c:v>2018</c:v>
                </c:pt>
                <c:pt idx="1">
                  <c:v>2019</c:v>
                </c:pt>
                <c:pt idx="2">
                  <c:v>2020</c:v>
                </c:pt>
                <c:pt idx="3">
                  <c:v>2021</c:v>
                </c:pt>
                <c:pt idx="4">
                  <c:v>2022</c:v>
                </c:pt>
              </c:strCache>
            </c:strRef>
          </c:cat>
          <c:val>
            <c:numRef>
              <c:f>('Résumé et gaps'!$C$23,'Résumé et gaps'!$E$23,'Résumé et gaps'!$G$23,'Résumé et gaps'!$I$23,'Résumé et gaps'!$K$23)</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396D-4313-89F8-2B029705F97A}"/>
            </c:ext>
          </c:extLst>
        </c:ser>
        <c:ser>
          <c:idx val="4"/>
          <c:order val="6"/>
          <c:tx>
            <c:strRef>
              <c:f>'Résumé et gaps'!$B$24</c:f>
              <c:strCache>
                <c:ptCount val="1"/>
                <c:pt idx="0">
                  <c:v>Intégration et liens des plans et des budgets</c:v>
                </c:pt>
              </c:strCache>
            </c:strRef>
          </c:tx>
          <c:spPr>
            <a:solidFill>
              <a:srgbClr val="99CCFF"/>
            </a:solidFill>
            <a:ln w="25400">
              <a:noFill/>
            </a:ln>
          </c:spPr>
          <c:invertIfNegative val="0"/>
          <c:cat>
            <c:strRef>
              <c:f>'Coût des investissements'!$D$1:$H$2</c:f>
              <c:strCache>
                <c:ptCount val="5"/>
                <c:pt idx="0">
                  <c:v>2018</c:v>
                </c:pt>
                <c:pt idx="1">
                  <c:v>2019</c:v>
                </c:pt>
                <c:pt idx="2">
                  <c:v>2020</c:v>
                </c:pt>
                <c:pt idx="3">
                  <c:v>2021</c:v>
                </c:pt>
                <c:pt idx="4">
                  <c:v>2022</c:v>
                </c:pt>
              </c:strCache>
            </c:strRef>
          </c:cat>
          <c:val>
            <c:numRef>
              <c:f>('Résumé et gaps'!$C$24,'Résumé et gaps'!$E$24,'Résumé et gaps'!$G$24,'Résumé et gaps'!$I$24,'Résumé et gaps'!$K$24)</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396D-4313-89F8-2B029705F97A}"/>
            </c:ext>
          </c:extLst>
        </c:ser>
        <c:ser>
          <c:idx val="7"/>
          <c:order val="7"/>
          <c:tx>
            <c:strRef>
              <c:f>'Résumé et gaps'!$B$25</c:f>
              <c:strCache>
                <c:ptCount val="1"/>
                <c:pt idx="0">
                  <c:v>Mise à jour des politiques, des lignes directrices et des outils</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gaps'!$C$25,'Résumé et gaps'!$E$25,'Résumé et gaps'!$G$25,'Résumé et gaps'!$I$25,'Résumé et gaps'!$K$25)</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7-396D-4313-89F8-2B029705F97A}"/>
            </c:ext>
          </c:extLst>
        </c:ser>
        <c:ser>
          <c:idx val="8"/>
          <c:order val="8"/>
          <c:tx>
            <c:strRef>
              <c:f>'Résumé et gaps'!$B$14</c:f>
              <c:strCache>
                <c:ptCount val="1"/>
                <c:pt idx="0">
                  <c:v>Cartographie</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gaps'!$C$14,'Résumé et gaps'!$E$14,'Résumé et gaps'!$G$14,'Résumé et gaps'!$I$14,'Résumé et gaps'!$K$14)</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396D-4313-89F8-2B029705F97A}"/>
            </c:ext>
          </c:extLst>
        </c:ser>
        <c:ser>
          <c:idx val="9"/>
          <c:order val="9"/>
          <c:tx>
            <c:strRef>
              <c:f>'Résumé et gaps'!$B$17</c:f>
              <c:strCache>
                <c:ptCount val="1"/>
                <c:pt idx="0">
                  <c:v>Acquisition de médicaments (CM)</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gaps'!$C$17,'Résumé et gaps'!$E$17,'Résumé et gaps'!$G$17,'Résumé et gaps'!$I$17,'Résumé et gaps'!$K$17)</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9-396D-4313-89F8-2B029705F97A}"/>
            </c:ext>
          </c:extLst>
        </c:ser>
        <c:ser>
          <c:idx val="10"/>
          <c:order val="10"/>
          <c:tx>
            <c:strRef>
              <c:f>'Résumé et gaps'!$B$18</c:f>
              <c:strCache>
                <c:ptCount val="1"/>
                <c:pt idx="0">
                  <c:v>Gestion de cas / morbidité et prévention de l'invalidité</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gaps'!$C$18,'Résumé et gaps'!$E$18,'Résumé et gaps'!$G$18,'Résumé et gaps'!$I$18,'Résumé et gaps'!$K$18)</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396D-4313-89F8-2B029705F97A}"/>
            </c:ext>
          </c:extLst>
        </c:ser>
        <c:ser>
          <c:idx val="11"/>
          <c:order val="11"/>
          <c:tx>
            <c:strRef>
              <c:f>'Résumé et gaps'!$B$19</c:f>
              <c:strCache>
                <c:ptCount val="1"/>
                <c:pt idx="0">
                  <c:v>Vecteur et mesure environnementale</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gaps'!$C$19,'Résumé et gaps'!$E$19,'Résumé et gaps'!$G$19,'Résumé et gaps'!$I$19,'Résumé et gaps'!$K$19)</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B-396D-4313-89F8-2B029705F97A}"/>
            </c:ext>
          </c:extLst>
        </c:ser>
        <c:ser>
          <c:idx val="12"/>
          <c:order val="12"/>
          <c:tx>
            <c:strRef>
              <c:f>'Résumé et gaps'!$B$20</c:f>
              <c:strCache>
                <c:ptCount val="1"/>
                <c:pt idx="0">
                  <c:v>Renforcement des capacités aux QG nationaux</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gaps'!$C$20,'Résumé et gaps'!$E$20,'Résumé et gaps'!$G$20,'Résumé et gaps'!$I$20,'Résumé et gaps'!$K$20)</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C-396D-4313-89F8-2B029705F97A}"/>
            </c:ext>
          </c:extLst>
        </c:ser>
        <c:ser>
          <c:idx val="13"/>
          <c:order val="13"/>
          <c:tx>
            <c:strRef>
              <c:f>'Résumé et gaps'!$B$21</c:f>
              <c:strCache>
                <c:ptCount val="1"/>
                <c:pt idx="0">
                  <c:v>Infrastructure et logistique</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gaps'!$C$21,'Résumé et gaps'!$E$21,'Résumé et gaps'!$G$21,'Résumé et gaps'!$I$21,'Résumé et gaps'!$K$21)</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D-396D-4313-89F8-2B029705F97A}"/>
            </c:ext>
          </c:extLst>
        </c:ser>
        <c:ser>
          <c:idx val="14"/>
          <c:order val="14"/>
          <c:tx>
            <c:strRef>
              <c:f>'Résumé et gaps'!$B$30</c:f>
              <c:strCache>
                <c:ptCount val="1"/>
                <c:pt idx="0">
                  <c:v>Surveillance, supervision et évaluation</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gaps'!$C$30,'Résumé et gaps'!$E$30,'Résumé et gaps'!$G$30,'Résumé et gaps'!$I$30,'Résumé et gaps'!$K$30)</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E-396D-4313-89F8-2B029705F97A}"/>
            </c:ext>
          </c:extLst>
        </c:ser>
        <c:ser>
          <c:idx val="15"/>
          <c:order val="15"/>
          <c:tx>
            <c:strRef>
              <c:f>'Résumé et gaps'!$B$31</c:f>
              <c:strCache>
                <c:ptCount val="1"/>
                <c:pt idx="0">
                  <c:v>Surveillance des maladies, réponse et contrôle</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gaps'!$C$31,'Résumé et gaps'!$E$31,'Résumé et gaps'!$G$31,'Résumé et gaps'!$I$31,'Résumé et gaps'!$K$31)</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F-396D-4313-89F8-2B029705F97A}"/>
            </c:ext>
          </c:extLst>
        </c:ser>
        <c:ser>
          <c:idx val="16"/>
          <c:order val="16"/>
          <c:tx>
            <c:strRef>
              <c:f>'Résumé et gaps'!$B$32</c:f>
              <c:strCache>
                <c:ptCount val="1"/>
                <c:pt idx="0">
                  <c:v>Recherche opérationnelle</c:v>
                </c:pt>
              </c:strCache>
            </c:strRef>
          </c:tx>
          <c:invertIfNegative val="0"/>
          <c:cat>
            <c:strRef>
              <c:f>'Coût des investissements'!$D$1:$H$2</c:f>
              <c:strCache>
                <c:ptCount val="5"/>
                <c:pt idx="0">
                  <c:v>2018</c:v>
                </c:pt>
                <c:pt idx="1">
                  <c:v>2019</c:v>
                </c:pt>
                <c:pt idx="2">
                  <c:v>2020</c:v>
                </c:pt>
                <c:pt idx="3">
                  <c:v>2021</c:v>
                </c:pt>
                <c:pt idx="4">
                  <c:v>2022</c:v>
                </c:pt>
              </c:strCache>
            </c:strRef>
          </c:cat>
          <c:val>
            <c:numRef>
              <c:f>('Résumé et gaps'!$C$32,'Résumé et gaps'!$E$32,'Résumé et gaps'!$G$32,'Résumé et gaps'!$I$32,'Résumé et gaps'!$K$32)</c:f>
              <c:numCache>
                <c:formatCode>_-* #\ ##0_-;\-* #\ ##0_-;_-*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10-396D-4313-89F8-2B029705F97A}"/>
            </c:ext>
          </c:extLst>
        </c:ser>
        <c:dLbls>
          <c:showLegendKey val="0"/>
          <c:showVal val="0"/>
          <c:showCatName val="0"/>
          <c:showSerName val="0"/>
          <c:showPercent val="0"/>
          <c:showBubbleSize val="0"/>
        </c:dLbls>
        <c:gapWidth val="55"/>
        <c:overlap val="100"/>
        <c:axId val="202811480"/>
        <c:axId val="202811872"/>
      </c:barChart>
      <c:catAx>
        <c:axId val="202811480"/>
        <c:scaling>
          <c:orientation val="minMax"/>
        </c:scaling>
        <c:delete val="0"/>
        <c:axPos val="b"/>
        <c:numFmt formatCode="General" sourceLinked="0"/>
        <c:majorTickMark val="none"/>
        <c:minorTickMark val="none"/>
        <c:tickLblPos val="nextTo"/>
        <c:txPr>
          <a:bodyPr rot="0" spcFirstLastPara="0" vertOverflow="ellipsis" vert="horz" wrap="square" anchor="ctr" anchorCtr="1"/>
          <a:lstStyle/>
          <a:p>
            <a:pPr>
              <a:defRPr lang="fr-FR" sz="1100" b="0" i="0" u="none" strike="noStrike" kern="1200" baseline="0">
                <a:solidFill>
                  <a:srgbClr val="000000">
                    <a:alpha val="100000"/>
                  </a:srgbClr>
                </a:solidFill>
                <a:latin typeface="Calibri" panose="020F0502020204030204" charset="0"/>
                <a:ea typeface="Calibri" panose="020F0502020204030204" charset="0"/>
                <a:cs typeface="Calibri" panose="020F0502020204030204" charset="0"/>
              </a:defRPr>
            </a:pPr>
            <a:endParaRPr lang="fr-FR"/>
          </a:p>
        </c:txPr>
        <c:crossAx val="202811872"/>
        <c:crosses val="autoZero"/>
        <c:auto val="1"/>
        <c:lblAlgn val="ctr"/>
        <c:lblOffset val="100"/>
        <c:noMultiLvlLbl val="0"/>
      </c:catAx>
      <c:valAx>
        <c:axId val="202811872"/>
        <c:scaling>
          <c:orientation val="minMax"/>
        </c:scaling>
        <c:delete val="0"/>
        <c:axPos val="l"/>
        <c:majorGridlines/>
        <c:numFmt formatCode="_-* #\ ##0_-;\-* #\ ##0_-;_-* &quot;-&quot;_-;_-@_-" sourceLinked="1"/>
        <c:majorTickMark val="none"/>
        <c:minorTickMark val="none"/>
        <c:tickLblPos val="nextTo"/>
        <c:txPr>
          <a:bodyPr rot="0" spcFirstLastPara="0" vertOverflow="ellipsis" vert="horz" wrap="square" anchor="ctr" anchorCtr="1"/>
          <a:lstStyle/>
          <a:p>
            <a:pPr>
              <a:defRPr lang="fr-FR" sz="1000" b="0" i="0" u="none" strike="noStrike" kern="1200" baseline="0">
                <a:solidFill>
                  <a:srgbClr val="000000">
                    <a:alpha val="100000"/>
                  </a:srgbClr>
                </a:solidFill>
                <a:latin typeface="Calibri" panose="020F0502020204030204" charset="0"/>
                <a:ea typeface="Calibri" panose="020F0502020204030204" charset="0"/>
                <a:cs typeface="Calibri" panose="020F0502020204030204" charset="0"/>
              </a:defRPr>
            </a:pPr>
            <a:endParaRPr lang="fr-FR"/>
          </a:p>
        </c:txPr>
        <c:crossAx val="202811480"/>
        <c:crosses val="autoZero"/>
        <c:crossBetween val="between"/>
      </c:valAx>
    </c:plotArea>
    <c:legend>
      <c:legendPos val="r"/>
      <c:layout>
        <c:manualLayout>
          <c:xMode val="edge"/>
          <c:yMode val="edge"/>
          <c:x val="0.583446435971819"/>
          <c:y val="0.13317757009345799"/>
          <c:w val="0.41575000000000001"/>
          <c:h val="0.876"/>
        </c:manualLayout>
      </c:layout>
      <c:overlay val="0"/>
      <c:txPr>
        <a:bodyPr rot="0" spcFirstLastPara="0" vertOverflow="ellipsis" vert="horz" wrap="square" anchor="ctr" anchorCtr="1"/>
        <a:lstStyle/>
        <a:p>
          <a:pPr>
            <a:defRPr lang="fr-FR" sz="690" b="0" i="0" u="none" strike="noStrike" kern="1200" baseline="0">
              <a:solidFill>
                <a:srgbClr val="000000"/>
              </a:solidFill>
              <a:latin typeface="Calibri" panose="020F0502020204030204"/>
              <a:ea typeface="Calibri" panose="020F0502020204030204"/>
              <a:cs typeface="Calibri" panose="020F0502020204030204"/>
            </a:defRPr>
          </a:pPr>
          <a:endParaRPr lang="fr-FR"/>
        </a:p>
      </c:txPr>
    </c:legend>
    <c:plotVisOnly val="1"/>
    <c:dispBlanksAs val="gap"/>
    <c:showDLblsOverMax val="0"/>
  </c:chart>
  <c:txPr>
    <a:bodyPr rot="0" wrap="square" anchor="ctr" anchorCtr="1"/>
    <a:lstStyle/>
    <a:p>
      <a:pPr>
        <a:defRPr lang="fr-FR" sz="1000" b="0" i="0" u="none" strike="noStrike" baseline="0">
          <a:solidFill>
            <a:srgbClr val="000000">
              <a:alpha val="100000"/>
            </a:srgbClr>
          </a:solidFill>
          <a:latin typeface="Calibri" panose="020F0502020204030204" charset="0"/>
          <a:ea typeface="Calibri" panose="020F0502020204030204" charset="0"/>
          <a:cs typeface="Calibri" panose="020F0502020204030204" charset="0"/>
        </a:defRPr>
      </a:pPr>
      <a:endParaRPr lang="fr-FR"/>
    </a:p>
  </c:tx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9524</xdr:rowOff>
    </xdr:from>
    <xdr:to>
      <xdr:col>11</xdr:col>
      <xdr:colOff>47625</xdr:colOff>
      <xdr:row>25</xdr:row>
      <xdr:rowOff>9524</xdr:rowOff>
    </xdr:to>
    <xdr:sp macro="" textlink="">
      <xdr:nvSpPr>
        <xdr:cNvPr id="2" name="Rectangle 1">
          <a:extLst>
            <a:ext uri="{FF2B5EF4-FFF2-40B4-BE49-F238E27FC236}">
              <a16:creationId xmlns:a16="http://schemas.microsoft.com/office/drawing/2014/main" xmlns="" id="{00000000-0008-0000-0200-000002000000}"/>
            </a:ext>
          </a:extLst>
        </xdr:cNvPr>
        <xdr:cNvSpPr/>
      </xdr:nvSpPr>
      <xdr:spPr>
        <a:xfrm>
          <a:off x="19050" y="8890"/>
          <a:ext cx="6734175" cy="404812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a:p>
      </xdr:txBody>
    </xdr:sp>
    <xdr:clientData/>
  </xdr:twoCellAnchor>
  <xdr:twoCellAnchor>
    <xdr:from>
      <xdr:col>0</xdr:col>
      <xdr:colOff>113665</xdr:colOff>
      <xdr:row>1</xdr:row>
      <xdr:rowOff>66675</xdr:rowOff>
    </xdr:from>
    <xdr:to>
      <xdr:col>10</xdr:col>
      <xdr:colOff>527050</xdr:colOff>
      <xdr:row>20</xdr:row>
      <xdr:rowOff>57150</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113665" y="228600"/>
          <a:ext cx="6509385" cy="30670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t>Instructions</a:t>
          </a:r>
        </a:p>
        <a:p>
          <a:r>
            <a:rPr lang="fr-FR" sz="1100"/>
            <a:t>Le modèle d'outil d'élaboration des coûts est composé de 3 feuilles de travail qui constituent les données de district. Malheureusement, le modèle que vous avez initialement peut ne pas être capable de déterminer le nombre de districts dans votre pays. Par conséquent, la commande ci-dessous est fournie pour vous aider à étendre à l'ensemble de données de district à la plage souhaitée.</a:t>
          </a:r>
        </a:p>
        <a:p>
          <a:r>
            <a:rPr lang="fr-FR" sz="1100"/>
            <a:t>Pour augmenter la taille des ensembles de données de district, procédez comme suit:</a:t>
          </a:r>
        </a:p>
        <a:p>
          <a:endParaRPr lang="fr-FR" sz="1100"/>
        </a:p>
        <a:p>
          <a:r>
            <a:rPr lang="fr-FR" sz="1100"/>
            <a:t>1. Cliquez sur le bouton "Insérer les districts" ci-dessous</a:t>
          </a:r>
        </a:p>
        <a:p>
          <a:endParaRPr lang="fr-FR" sz="1100"/>
        </a:p>
        <a:p>
          <a:r>
            <a:rPr lang="fr-FR" sz="1100"/>
            <a:t>2. Dans la première boîte de dialogue, entrez la position de la ligne à partir de laquelle l'insertion commencera. S'il vous plaît noter que la position de la ligne est le numéro de série intégré Excel de ligne et non l'ordre numérique du district dans la colonne A. La position de l'insertion ne pouvait pas être inférieure à 4 ou plus que la dernière rangée.</a:t>
          </a:r>
        </a:p>
        <a:p>
          <a:endParaRPr lang="fr-FR" sz="1100"/>
        </a:p>
        <a:p>
          <a:r>
            <a:rPr lang="fr-FR" sz="1100"/>
            <a:t>2. Dans la deuxième boîte de dialogue, entrez le nombre de districts que vous souhaitez insérer. S'il vous plaît noter qu'il n'y a pas de limite.</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20</xdr:row>
          <xdr:rowOff>133350</xdr:rowOff>
        </xdr:from>
        <xdr:to>
          <xdr:col>6</xdr:col>
          <xdr:colOff>66675</xdr:colOff>
          <xdr:row>22</xdr:row>
          <xdr:rowOff>152400</xdr:rowOff>
        </xdr:to>
        <xdr:sp macro="" textlink="">
          <xdr:nvSpPr>
            <xdr:cNvPr id="35842" name="InsertRow"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9524</xdr:rowOff>
    </xdr:from>
    <xdr:to>
      <xdr:col>11</xdr:col>
      <xdr:colOff>47625</xdr:colOff>
      <xdr:row>25</xdr:row>
      <xdr:rowOff>9524</xdr:rowOff>
    </xdr:to>
    <xdr:sp macro="" textlink="">
      <xdr:nvSpPr>
        <xdr:cNvPr id="2" name="Rectangle 1">
          <a:extLst>
            <a:ext uri="{FF2B5EF4-FFF2-40B4-BE49-F238E27FC236}">
              <a16:creationId xmlns:a16="http://schemas.microsoft.com/office/drawing/2014/main" xmlns="" id="{00000000-0008-0000-0500-000002000000}"/>
            </a:ext>
          </a:extLst>
        </xdr:cNvPr>
        <xdr:cNvSpPr/>
      </xdr:nvSpPr>
      <xdr:spPr>
        <a:xfrm>
          <a:off x="19050" y="8890"/>
          <a:ext cx="6734175" cy="404812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a:p>
      </xdr:txBody>
    </xdr:sp>
    <xdr:clientData/>
  </xdr:twoCellAnchor>
  <xdr:twoCellAnchor>
    <xdr:from>
      <xdr:col>0</xdr:col>
      <xdr:colOff>113665</xdr:colOff>
      <xdr:row>1</xdr:row>
      <xdr:rowOff>66675</xdr:rowOff>
    </xdr:from>
    <xdr:to>
      <xdr:col>10</xdr:col>
      <xdr:colOff>527050</xdr:colOff>
      <xdr:row>20</xdr:row>
      <xdr:rowOff>113665</xdr:rowOff>
    </xdr:to>
    <xdr:sp macro="" textlink="">
      <xdr:nvSpPr>
        <xdr:cNvPr id="3" name="TextBox 3">
          <a:extLst>
            <a:ext uri="{FF2B5EF4-FFF2-40B4-BE49-F238E27FC236}">
              <a16:creationId xmlns:a16="http://schemas.microsoft.com/office/drawing/2014/main" xmlns="" id="{00000000-0008-0000-0500-000003000000}"/>
            </a:ext>
          </a:extLst>
        </xdr:cNvPr>
        <xdr:cNvSpPr txBox="1"/>
      </xdr:nvSpPr>
      <xdr:spPr>
        <a:xfrm>
          <a:off x="113665" y="228600"/>
          <a:ext cx="6509385" cy="312356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ym typeface="+mn-ea"/>
            </a:rPr>
            <a:t>Instructions</a:t>
          </a:r>
          <a:endParaRPr lang="fr-FR" sz="1600" b="1"/>
        </a:p>
        <a:p>
          <a:r>
            <a:rPr lang="fr-FR">
              <a:sym typeface="+mn-ea"/>
            </a:rPr>
            <a:t>Le modèle d'outil d'élaboration des coûts est composé de 3 feuilles de travail qui constituent les données de district. Malheureusement, le modèle que vous avez initialement peut ne pas être capable de déterminer le nombre de districts dans votre pays. Par conséquent, la commande ci-dessous est fournie pour vous aider à étendre à l'ensemble de données de district à la plage souhaitée.</a:t>
          </a:r>
          <a:endParaRPr lang="fr-FR" sz="1100"/>
        </a:p>
        <a:p>
          <a:r>
            <a:rPr lang="fr-FR">
              <a:sym typeface="+mn-ea"/>
            </a:rPr>
            <a:t>Pour augmenter la taille des ensembles de données de district, procédez comme suit:</a:t>
          </a:r>
          <a:endParaRPr lang="fr-FR" sz="1100"/>
        </a:p>
        <a:p>
          <a:endParaRPr lang="fr-FR" sz="1100"/>
        </a:p>
        <a:p>
          <a:r>
            <a:rPr lang="fr-FR">
              <a:sym typeface="+mn-ea"/>
            </a:rPr>
            <a:t>1. Cliquez sur le bouton "Insérer les districts" ci-dessous</a:t>
          </a:r>
          <a:endParaRPr lang="fr-FR" sz="1100"/>
        </a:p>
        <a:p>
          <a:endParaRPr lang="fr-FR" sz="1100"/>
        </a:p>
        <a:p>
          <a:r>
            <a:rPr lang="fr-FR">
              <a:sym typeface="+mn-ea"/>
            </a:rPr>
            <a:t>2. Dans la première boîte de dialogue, entrez la position de la ligne à partir de laquelle l'insertion commencera. S'il vous plaît noter que la position de la ligne est le numéro de série intégré Excel de ligne et non l'ordre numérique du district dans la colonne A. La position de l'insertion ne pouvait pas être inférieure à 4 ou plus que la dernière rangée.</a:t>
          </a:r>
          <a:endParaRPr lang="fr-FR" sz="1100"/>
        </a:p>
        <a:p>
          <a:endParaRPr lang="fr-FR" sz="1100"/>
        </a:p>
        <a:p>
          <a:r>
            <a:rPr lang="fr-FR">
              <a:sym typeface="+mn-ea"/>
            </a:rPr>
            <a:t>2. Dans la deuxième boîte de dialogue, entrez le nombre de districts que vous souhaitez insérer. S'il vous plaît noter qu'il n'y a pas de limite.</a:t>
          </a:r>
          <a:endParaRPr lang="fr-FR" sz="1100"/>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20</xdr:row>
          <xdr:rowOff>133350</xdr:rowOff>
        </xdr:from>
        <xdr:to>
          <xdr:col>6</xdr:col>
          <xdr:colOff>66675</xdr:colOff>
          <xdr:row>22</xdr:row>
          <xdr:rowOff>152400</xdr:rowOff>
        </xdr:to>
        <xdr:sp macro="" textlink="">
          <xdr:nvSpPr>
            <xdr:cNvPr id="40961" name="InsertActivity"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123825</xdr:colOff>
      <xdr:row>0</xdr:row>
      <xdr:rowOff>172085</xdr:rowOff>
    </xdr:from>
    <xdr:to>
      <xdr:col>18</xdr:col>
      <xdr:colOff>0</xdr:colOff>
      <xdr:row>18</xdr:row>
      <xdr:rowOff>209550</xdr:rowOff>
    </xdr:to>
    <xdr:graphicFrame macro="">
      <xdr:nvGraphicFramePr>
        <xdr:cNvPr id="48252" name="Chart 2">
          <a:extLst>
            <a:ext uri="{FF2B5EF4-FFF2-40B4-BE49-F238E27FC236}">
              <a16:creationId xmlns:a16="http://schemas.microsoft.com/office/drawing/2014/main" xmlns="" id="{00000000-0008-0000-0B00-00007CBC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19</xdr:row>
      <xdr:rowOff>66675</xdr:rowOff>
    </xdr:from>
    <xdr:to>
      <xdr:col>8</xdr:col>
      <xdr:colOff>38100</xdr:colOff>
      <xdr:row>44</xdr:row>
      <xdr:rowOff>19050</xdr:rowOff>
    </xdr:to>
    <xdr:graphicFrame macro="">
      <xdr:nvGraphicFramePr>
        <xdr:cNvPr id="48253" name="Chart 3">
          <a:extLst>
            <a:ext uri="{FF2B5EF4-FFF2-40B4-BE49-F238E27FC236}">
              <a16:creationId xmlns:a16="http://schemas.microsoft.com/office/drawing/2014/main" xmlns="" id="{00000000-0008-0000-0B00-00007DBC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123825</xdr:colOff>
      <xdr:row>19</xdr:row>
      <xdr:rowOff>76200</xdr:rowOff>
    </xdr:from>
    <xdr:to>
      <xdr:col>18</xdr:col>
      <xdr:colOff>28575</xdr:colOff>
      <xdr:row>44</xdr:row>
      <xdr:rowOff>9525</xdr:rowOff>
    </xdr:to>
    <xdr:graphicFrame macro="">
      <xdr:nvGraphicFramePr>
        <xdr:cNvPr id="48254" name="Chart 5">
          <a:extLst>
            <a:ext uri="{FF2B5EF4-FFF2-40B4-BE49-F238E27FC236}">
              <a16:creationId xmlns:a16="http://schemas.microsoft.com/office/drawing/2014/main" xmlns="" id="{00000000-0008-0000-0B00-00007EBC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able1" displayName="Table1" ref="A1:F9" totalsRowShown="0">
  <tableColumns count="6">
    <tableColumn id="1" name="Médicaments"/>
    <tableColumn id="2" name="Programme"/>
    <tableColumn id="3" name="Présentation"/>
    <tableColumn id="4" name="Unit Cost*  (US$/tablet)"/>
    <tableColumn id="5" name="Dose (no./person/year)"/>
    <tableColumn id="6" name="Régime de traitement"/>
  </tableColumns>
  <tableStyleInfo name="TableStyleMedium10" showFirstColumn="0" showLastColumn="0" showRowStripes="1" showColumnStripes="0"/>
</table>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G41"/>
  <sheetViews>
    <sheetView showGridLines="0" topLeftCell="A33" zoomScale="202" zoomScaleNormal="202" zoomScaleSheetLayoutView="110" workbookViewId="0">
      <selection activeCell="A30" sqref="A30:G30"/>
    </sheetView>
  </sheetViews>
  <sheetFormatPr baseColWidth="10" defaultColWidth="9.140625" defaultRowHeight="12"/>
  <cols>
    <col min="1" max="1" width="3" style="5" customWidth="1"/>
    <col min="2" max="6" width="11.42578125" style="5" customWidth="1"/>
    <col min="7" max="7" width="35.42578125" style="5" customWidth="1"/>
    <col min="8" max="8" width="9.140625" style="5" customWidth="1"/>
    <col min="9" max="16384" width="9.140625" style="5"/>
  </cols>
  <sheetData>
    <row r="1" spans="1:7" ht="6" customHeight="1"/>
    <row r="2" spans="1:7" ht="28.5">
      <c r="A2" s="200" t="s">
        <v>0</v>
      </c>
    </row>
    <row r="3" spans="1:7" ht="28.5">
      <c r="A3" s="200" t="s">
        <v>1</v>
      </c>
    </row>
    <row r="4" spans="1:7" ht="7.5" customHeight="1"/>
    <row r="5" spans="1:7" ht="20.25" customHeight="1">
      <c r="A5" s="201" t="s">
        <v>2</v>
      </c>
    </row>
    <row r="7" spans="1:7" ht="156" customHeight="1">
      <c r="A7" s="273" t="s">
        <v>3</v>
      </c>
      <c r="B7" s="273"/>
      <c r="C7" s="273"/>
      <c r="D7" s="273"/>
      <c r="E7" s="273"/>
      <c r="F7" s="273"/>
      <c r="G7" s="273"/>
    </row>
    <row r="8" spans="1:7" ht="42.75" customHeight="1">
      <c r="A8" s="273" t="s">
        <v>4</v>
      </c>
      <c r="B8" s="273"/>
      <c r="C8" s="273"/>
      <c r="D8" s="273"/>
      <c r="E8" s="273"/>
      <c r="F8" s="273"/>
      <c r="G8" s="273"/>
    </row>
    <row r="9" spans="1:7" ht="6" customHeight="1"/>
    <row r="10" spans="1:7">
      <c r="A10" s="5" t="s">
        <v>5</v>
      </c>
    </row>
    <row r="11" spans="1:7">
      <c r="B11" s="5" t="s">
        <v>6</v>
      </c>
    </row>
    <row r="12" spans="1:7">
      <c r="B12" s="202" t="s">
        <v>7</v>
      </c>
    </row>
    <row r="13" spans="1:7">
      <c r="B13" s="202" t="s">
        <v>8</v>
      </c>
    </row>
    <row r="14" spans="1:7">
      <c r="B14" s="202" t="s">
        <v>9</v>
      </c>
    </row>
    <row r="15" spans="1:7">
      <c r="B15" s="202" t="s">
        <v>10</v>
      </c>
    </row>
    <row r="16" spans="1:7">
      <c r="B16" s="202" t="s">
        <v>11</v>
      </c>
    </row>
    <row r="17" spans="1:7">
      <c r="B17" s="202" t="s">
        <v>12</v>
      </c>
    </row>
    <row r="18" spans="1:7">
      <c r="B18" s="203" t="s">
        <v>13</v>
      </c>
    </row>
    <row r="19" spans="1:7">
      <c r="B19" s="203" t="s">
        <v>14</v>
      </c>
    </row>
    <row r="20" spans="1:7">
      <c r="B20" s="5" t="s">
        <v>15</v>
      </c>
    </row>
    <row r="21" spans="1:7">
      <c r="B21" s="5" t="s">
        <v>16</v>
      </c>
    </row>
    <row r="23" spans="1:7" ht="18" customHeight="1">
      <c r="A23" s="275" t="s">
        <v>17</v>
      </c>
      <c r="B23" s="275"/>
      <c r="C23" s="275"/>
      <c r="D23" s="275"/>
      <c r="E23" s="275"/>
      <c r="F23" s="275"/>
      <c r="G23" s="275"/>
    </row>
    <row r="24" spans="1:7" ht="7.5" customHeight="1"/>
    <row r="25" spans="1:7" ht="27.75" customHeight="1">
      <c r="A25" s="273" t="s">
        <v>18</v>
      </c>
      <c r="B25" s="273"/>
      <c r="C25" s="273"/>
      <c r="D25" s="273"/>
      <c r="E25" s="273"/>
      <c r="F25" s="273"/>
      <c r="G25" s="273"/>
    </row>
    <row r="26" spans="1:7" ht="5.25" customHeight="1"/>
    <row r="27" spans="1:7" ht="24.95" customHeight="1">
      <c r="A27" s="273" t="s">
        <v>19</v>
      </c>
      <c r="B27" s="273"/>
      <c r="C27" s="273"/>
      <c r="D27" s="273"/>
      <c r="E27" s="273"/>
      <c r="F27" s="273"/>
      <c r="G27" s="273"/>
    </row>
    <row r="28" spans="1:7" ht="25.5" customHeight="1">
      <c r="A28" s="273" t="s">
        <v>20</v>
      </c>
      <c r="B28" s="273"/>
      <c r="C28" s="273"/>
      <c r="D28" s="273"/>
      <c r="E28" s="273"/>
      <c r="F28" s="273"/>
      <c r="G28" s="273"/>
    </row>
    <row r="29" spans="1:7" ht="12.75" customHeight="1">
      <c r="A29" s="204"/>
      <c r="B29" s="204"/>
      <c r="C29" s="204"/>
      <c r="D29" s="204"/>
      <c r="E29" s="204"/>
      <c r="F29" s="204"/>
      <c r="G29" s="204"/>
    </row>
    <row r="30" spans="1:7" ht="32.25" customHeight="1">
      <c r="A30" s="273" t="s">
        <v>21</v>
      </c>
      <c r="B30" s="273"/>
      <c r="C30" s="273"/>
      <c r="D30" s="273"/>
      <c r="E30" s="273"/>
      <c r="F30" s="273"/>
      <c r="G30" s="273"/>
    </row>
    <row r="31" spans="1:7" ht="6.75" customHeight="1"/>
    <row r="32" spans="1:7">
      <c r="A32" s="205" t="s">
        <v>22</v>
      </c>
    </row>
    <row r="34" spans="1:7">
      <c r="B34" s="206"/>
      <c r="C34" s="5" t="s">
        <v>23</v>
      </c>
    </row>
    <row r="35" spans="1:7">
      <c r="B35" s="207"/>
    </row>
    <row r="36" spans="1:7">
      <c r="B36" s="208"/>
      <c r="C36" s="5" t="s">
        <v>24</v>
      </c>
    </row>
    <row r="37" spans="1:7">
      <c r="B37" s="207"/>
    </row>
    <row r="38" spans="1:7">
      <c r="B38" s="209"/>
      <c r="C38" s="5" t="s">
        <v>25</v>
      </c>
    </row>
    <row r="39" spans="1:7" ht="8.1" customHeight="1"/>
    <row r="40" spans="1:7" ht="17.100000000000001" customHeight="1">
      <c r="A40" s="210" t="s">
        <v>26</v>
      </c>
      <c r="B40" s="210"/>
      <c r="C40" s="210"/>
      <c r="D40" s="210"/>
      <c r="E40" s="210"/>
      <c r="F40" s="210"/>
      <c r="G40" s="210"/>
    </row>
    <row r="41" spans="1:7" ht="41.1" customHeight="1">
      <c r="A41" s="274" t="s">
        <v>27</v>
      </c>
      <c r="B41" s="274"/>
      <c r="C41" s="274"/>
      <c r="D41" s="274"/>
      <c r="E41" s="274"/>
      <c r="F41" s="274"/>
      <c r="G41" s="274"/>
    </row>
  </sheetData>
  <mergeCells count="8">
    <mergeCell ref="A28:G28"/>
    <mergeCell ref="A30:G30"/>
    <mergeCell ref="A41:G41"/>
    <mergeCell ref="A7:G7"/>
    <mergeCell ref="A8:G8"/>
    <mergeCell ref="A23:G23"/>
    <mergeCell ref="A25:G25"/>
    <mergeCell ref="A27:G27"/>
  </mergeCells>
  <pageMargins left="0.75" right="0.75" top="1" bottom="1" header="0.5" footer="0.5"/>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workbookViewId="0">
      <selection activeCell="H3" sqref="H3"/>
    </sheetView>
  </sheetViews>
  <sheetFormatPr baseColWidth="10" defaultRowHeight="12.75"/>
  <sheetData>
    <row r="1" spans="1:47" ht="15.75">
      <c r="A1" s="99" t="s">
        <v>117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row>
    <row r="2" spans="1:47" ht="24">
      <c r="A2" s="100" t="s">
        <v>118</v>
      </c>
      <c r="B2" s="101"/>
      <c r="C2" s="102">
        <f>'Page d''accueil'!F5</f>
        <v>2018</v>
      </c>
      <c r="D2" s="102"/>
      <c r="E2" s="102"/>
      <c r="F2" s="102"/>
      <c r="G2" s="102"/>
      <c r="H2" s="102"/>
      <c r="I2" s="102"/>
      <c r="J2" s="102"/>
      <c r="K2" s="102"/>
      <c r="L2" s="102">
        <f>C2+1</f>
        <v>2019</v>
      </c>
      <c r="M2" s="102"/>
      <c r="N2" s="102"/>
      <c r="O2" s="102"/>
      <c r="P2" s="102"/>
      <c r="Q2" s="102"/>
      <c r="R2" s="102"/>
      <c r="S2" s="102"/>
      <c r="T2" s="102"/>
      <c r="U2" s="102">
        <f>L2+1</f>
        <v>2020</v>
      </c>
      <c r="V2" s="102"/>
      <c r="W2" s="102"/>
      <c r="X2" s="102"/>
      <c r="Y2" s="102"/>
      <c r="Z2" s="102"/>
      <c r="AA2" s="102"/>
      <c r="AB2" s="102"/>
      <c r="AC2" s="102"/>
      <c r="AD2" s="102">
        <f>U2+1</f>
        <v>2021</v>
      </c>
      <c r="AE2" s="102"/>
      <c r="AF2" s="102"/>
      <c r="AG2" s="102"/>
      <c r="AH2" s="102"/>
      <c r="AI2" s="102"/>
      <c r="AJ2" s="102"/>
      <c r="AK2" s="102"/>
      <c r="AL2" s="102"/>
      <c r="AM2" s="102">
        <f>AD2+1</f>
        <v>2022</v>
      </c>
      <c r="AN2" s="102"/>
      <c r="AO2" s="102"/>
      <c r="AP2" s="102"/>
      <c r="AQ2" s="102"/>
      <c r="AR2" s="102"/>
      <c r="AS2" s="102"/>
      <c r="AT2" s="102"/>
      <c r="AU2" s="102"/>
    </row>
    <row r="3" spans="1:47">
      <c r="A3" s="100"/>
      <c r="B3" s="101"/>
      <c r="C3" s="103" t="s">
        <v>54</v>
      </c>
      <c r="D3" s="104" t="s">
        <v>119</v>
      </c>
      <c r="E3" s="104" t="s">
        <v>120</v>
      </c>
      <c r="F3" s="104" t="s">
        <v>121</v>
      </c>
      <c r="G3" s="104" t="s">
        <v>122</v>
      </c>
      <c r="H3" s="104" t="s">
        <v>123</v>
      </c>
      <c r="I3" s="130"/>
      <c r="J3" s="104"/>
      <c r="K3" s="103" t="s">
        <v>124</v>
      </c>
      <c r="L3" s="103" t="s">
        <v>54</v>
      </c>
      <c r="M3" s="104" t="s">
        <v>119</v>
      </c>
      <c r="N3" s="104" t="s">
        <v>120</v>
      </c>
      <c r="O3" s="104" t="s">
        <v>121</v>
      </c>
      <c r="P3" s="104" t="s">
        <v>122</v>
      </c>
      <c r="Q3" s="104" t="s">
        <v>123</v>
      </c>
      <c r="R3" s="130"/>
      <c r="S3" s="104"/>
      <c r="T3" s="103" t="s">
        <v>124</v>
      </c>
      <c r="U3" s="103" t="s">
        <v>54</v>
      </c>
      <c r="V3" s="104" t="s">
        <v>119</v>
      </c>
      <c r="W3" s="104" t="s">
        <v>120</v>
      </c>
      <c r="X3" s="104" t="s">
        <v>121</v>
      </c>
      <c r="Y3" s="104" t="s">
        <v>122</v>
      </c>
      <c r="Z3" s="104" t="s">
        <v>123</v>
      </c>
      <c r="AA3" s="130"/>
      <c r="AB3" s="104"/>
      <c r="AC3" s="103" t="s">
        <v>124</v>
      </c>
      <c r="AD3" s="103" t="s">
        <v>54</v>
      </c>
      <c r="AE3" s="104" t="s">
        <v>119</v>
      </c>
      <c r="AF3" s="104" t="s">
        <v>120</v>
      </c>
      <c r="AG3" s="104" t="s">
        <v>121</v>
      </c>
      <c r="AH3" s="104" t="s">
        <v>122</v>
      </c>
      <c r="AI3" s="104" t="s">
        <v>123</v>
      </c>
      <c r="AJ3" s="130"/>
      <c r="AK3" s="104"/>
      <c r="AL3" s="103" t="s">
        <v>124</v>
      </c>
      <c r="AM3" s="103" t="s">
        <v>54</v>
      </c>
      <c r="AN3" s="104" t="s">
        <v>119</v>
      </c>
      <c r="AO3" s="104" t="s">
        <v>120</v>
      </c>
      <c r="AP3" s="104" t="s">
        <v>121</v>
      </c>
      <c r="AQ3" s="104" t="s">
        <v>122</v>
      </c>
      <c r="AR3" s="104" t="s">
        <v>123</v>
      </c>
      <c r="AS3" s="130"/>
      <c r="AT3" s="104"/>
      <c r="AU3" s="103" t="s">
        <v>124</v>
      </c>
    </row>
    <row r="4" spans="1:47">
      <c r="A4" s="105" t="s">
        <v>125</v>
      </c>
      <c r="B4" s="106" t="s">
        <v>126</v>
      </c>
      <c r="C4" s="107">
        <f>SUMIF('Coût Activités'!C:C,Financement!B4,'Coût Activités'!N:N)</f>
        <v>0</v>
      </c>
      <c r="D4" s="108"/>
      <c r="E4" s="108"/>
      <c r="F4" s="109"/>
      <c r="G4" s="109"/>
      <c r="H4" s="109"/>
      <c r="I4" s="109"/>
      <c r="J4" s="109"/>
      <c r="K4" s="107">
        <f t="shared" ref="K4:K23" si="0">C4-(SUM(D4:J4))</f>
        <v>0</v>
      </c>
      <c r="L4" s="107">
        <f>SUMIF('Coût Activités'!C:C,Financement!B4,'Coût Activités'!T:T)</f>
        <v>0</v>
      </c>
      <c r="M4" s="108"/>
      <c r="N4" s="108"/>
      <c r="O4" s="109"/>
      <c r="P4" s="109"/>
      <c r="Q4" s="109"/>
      <c r="R4" s="109"/>
      <c r="S4" s="109"/>
      <c r="T4" s="107">
        <f t="shared" ref="T4:T23" si="1">L4-(SUM(M4:S4))</f>
        <v>0</v>
      </c>
      <c r="U4" s="107">
        <f>SUMIF('Coût Activités'!C:C,Financement!B4,'Coût Activités'!Z:Z)</f>
        <v>0</v>
      </c>
      <c r="V4" s="108"/>
      <c r="W4" s="108"/>
      <c r="X4" s="109"/>
      <c r="Y4" s="109"/>
      <c r="Z4" s="109"/>
      <c r="AA4" s="109"/>
      <c r="AB4" s="109"/>
      <c r="AC4" s="107">
        <f t="shared" ref="AC4:AC23" si="2">U4-(SUM(V4:AB4))</f>
        <v>0</v>
      </c>
      <c r="AD4" s="107">
        <f>SUMIF('Coût Activités'!C:C,Financement!B4,'Coût Activités'!AF:AF)</f>
        <v>0</v>
      </c>
      <c r="AE4" s="108"/>
      <c r="AF4" s="108"/>
      <c r="AG4" s="109"/>
      <c r="AH4" s="109"/>
      <c r="AI4" s="109"/>
      <c r="AJ4" s="109"/>
      <c r="AK4" s="109"/>
      <c r="AL4" s="107">
        <f t="shared" ref="AL4:AL23" si="3">AD4-(SUM(AE4:AK4))</f>
        <v>0</v>
      </c>
      <c r="AM4" s="107">
        <f>SUMIF('Coût Activités'!C:C,Financement!B4,'Coût Activités'!AL:AL)</f>
        <v>0</v>
      </c>
      <c r="AN4" s="108"/>
      <c r="AO4" s="108"/>
      <c r="AP4" s="109"/>
      <c r="AQ4" s="109"/>
      <c r="AR4" s="109"/>
      <c r="AS4" s="109"/>
      <c r="AT4" s="109"/>
      <c r="AU4" s="107">
        <f t="shared" ref="AU4:AU23" si="4">AM4-(SUM(AN4:AT4))</f>
        <v>0</v>
      </c>
    </row>
    <row r="5" spans="1:47" ht="72">
      <c r="A5" s="105"/>
      <c r="B5" s="106" t="s">
        <v>127</v>
      </c>
      <c r="C5" s="107">
        <f>SUMIF('Coût Activités'!C:C,Financement!B5,'Coût Activités'!N:N)</f>
        <v>0</v>
      </c>
      <c r="D5" s="109"/>
      <c r="E5" s="109"/>
      <c r="F5" s="109"/>
      <c r="G5" s="109"/>
      <c r="H5" s="109"/>
      <c r="I5" s="109"/>
      <c r="J5" s="109"/>
      <c r="K5" s="107">
        <f t="shared" si="0"/>
        <v>0</v>
      </c>
      <c r="L5" s="107">
        <f>SUMIF('Coût Activités'!C:C,Financement!B5,'Coût Activités'!T:T)</f>
        <v>0</v>
      </c>
      <c r="M5" s="109"/>
      <c r="N5" s="109"/>
      <c r="O5" s="109"/>
      <c r="P5" s="109"/>
      <c r="Q5" s="109"/>
      <c r="R5" s="109"/>
      <c r="S5" s="109"/>
      <c r="T5" s="107">
        <f t="shared" si="1"/>
        <v>0</v>
      </c>
      <c r="U5" s="107">
        <f>SUMIF('Coût Activités'!C:C,Financement!B5,'Coût Activités'!Z:Z)</f>
        <v>0</v>
      </c>
      <c r="V5" s="109"/>
      <c r="W5" s="109"/>
      <c r="X5" s="109"/>
      <c r="Y5" s="109"/>
      <c r="Z5" s="109"/>
      <c r="AA5" s="109"/>
      <c r="AB5" s="109"/>
      <c r="AC5" s="107">
        <f t="shared" si="2"/>
        <v>0</v>
      </c>
      <c r="AD5" s="107">
        <f>SUMIF('Coût Activités'!C:C,Financement!B5,'Coût Activités'!AF:AF)</f>
        <v>0</v>
      </c>
      <c r="AE5" s="109"/>
      <c r="AF5" s="109"/>
      <c r="AG5" s="109"/>
      <c r="AH5" s="109"/>
      <c r="AI5" s="109"/>
      <c r="AJ5" s="109"/>
      <c r="AK5" s="109"/>
      <c r="AL5" s="107">
        <f t="shared" si="3"/>
        <v>0</v>
      </c>
      <c r="AM5" s="107">
        <f>SUMIF('Coût Activités'!C:C,Financement!B5,'Coût Activités'!AL:AL)</f>
        <v>0</v>
      </c>
      <c r="AN5" s="109"/>
      <c r="AO5" s="109"/>
      <c r="AP5" s="109"/>
      <c r="AQ5" s="109"/>
      <c r="AR5" s="109"/>
      <c r="AS5" s="109"/>
      <c r="AT5" s="109"/>
      <c r="AU5" s="107">
        <f t="shared" si="4"/>
        <v>0</v>
      </c>
    </row>
    <row r="6" spans="1:47" ht="48">
      <c r="A6" s="105"/>
      <c r="B6" s="106" t="s">
        <v>128</v>
      </c>
      <c r="C6" s="107" t="e">
        <f>SUMIF('Coût Activités'!C:C,Financement!B6,'Coût Activités'!N:N)+C42</f>
        <v>#REF!</v>
      </c>
      <c r="D6" s="109"/>
      <c r="E6" s="109"/>
      <c r="F6" s="109"/>
      <c r="G6" s="109"/>
      <c r="H6" s="109"/>
      <c r="I6" s="109"/>
      <c r="J6" s="109"/>
      <c r="K6" s="107" t="e">
        <f t="shared" si="0"/>
        <v>#REF!</v>
      </c>
      <c r="L6" s="107" t="e">
        <f>SUMIF('Coût Activités'!C:C,Financement!B6,'Coût Activités'!T:T)+L42</f>
        <v>#REF!</v>
      </c>
      <c r="M6" s="109"/>
      <c r="N6" s="109"/>
      <c r="O6" s="109"/>
      <c r="P6" s="109"/>
      <c r="Q6" s="109"/>
      <c r="R6" s="109"/>
      <c r="S6" s="109"/>
      <c r="T6" s="107" t="e">
        <f t="shared" si="1"/>
        <v>#REF!</v>
      </c>
      <c r="U6" s="107" t="e">
        <f>SUMIF('Coût Activités'!C:C,Financement!B6,'Coût Activités'!Z:Z)+U42</f>
        <v>#REF!</v>
      </c>
      <c r="V6" s="109"/>
      <c r="W6" s="109"/>
      <c r="X6" s="109"/>
      <c r="Y6" s="109"/>
      <c r="Z6" s="109"/>
      <c r="AA6" s="109"/>
      <c r="AB6" s="109"/>
      <c r="AC6" s="107" t="e">
        <f t="shared" si="2"/>
        <v>#REF!</v>
      </c>
      <c r="AD6" s="107" t="e">
        <f>SUMIF('Coût Activités'!C:C,Financement!B6,'Coût Activités'!AF:AF)+AD42</f>
        <v>#REF!</v>
      </c>
      <c r="AE6" s="109"/>
      <c r="AF6" s="109"/>
      <c r="AG6" s="109"/>
      <c r="AH6" s="109"/>
      <c r="AI6" s="109"/>
      <c r="AJ6" s="109"/>
      <c r="AK6" s="109"/>
      <c r="AL6" s="107" t="e">
        <f t="shared" si="3"/>
        <v>#REF!</v>
      </c>
      <c r="AM6" s="107" t="e">
        <f>SUMIF('Coût Activités'!C:C,Financement!B6,'Coût Activités'!AL:AL)+AM42</f>
        <v>#REF!</v>
      </c>
      <c r="AN6" s="109"/>
      <c r="AO6" s="109"/>
      <c r="AP6" s="109"/>
      <c r="AQ6" s="109"/>
      <c r="AR6" s="109"/>
      <c r="AS6" s="109"/>
      <c r="AT6" s="109"/>
      <c r="AU6" s="107" t="e">
        <f t="shared" si="4"/>
        <v>#REF!</v>
      </c>
    </row>
    <row r="7" spans="1:47" ht="48">
      <c r="A7" s="105"/>
      <c r="B7" s="106" t="s">
        <v>129</v>
      </c>
      <c r="C7" s="107">
        <f>SUMIF('Coût Activités'!C:C,Financement!B7,'Coût Activités'!N:N)</f>
        <v>0</v>
      </c>
      <c r="D7" s="108"/>
      <c r="E7" s="108"/>
      <c r="F7" s="109"/>
      <c r="G7" s="109"/>
      <c r="H7" s="109"/>
      <c r="I7" s="109"/>
      <c r="J7" s="109"/>
      <c r="K7" s="107">
        <f t="shared" si="0"/>
        <v>0</v>
      </c>
      <c r="L7" s="107">
        <f>SUMIF('Coût Activités'!C:C,Financement!B7,'Coût Activités'!T:T)</f>
        <v>0</v>
      </c>
      <c r="M7" s="108"/>
      <c r="N7" s="108"/>
      <c r="O7" s="109"/>
      <c r="P7" s="109"/>
      <c r="Q7" s="109"/>
      <c r="R7" s="109"/>
      <c r="S7" s="109"/>
      <c r="T7" s="107">
        <f t="shared" si="1"/>
        <v>0</v>
      </c>
      <c r="U7" s="107">
        <f>SUMIF('Coût Activités'!C:C,Financement!B7,'Coût Activités'!Z:Z)</f>
        <v>0</v>
      </c>
      <c r="V7" s="108"/>
      <c r="W7" s="108"/>
      <c r="X7" s="109"/>
      <c r="Y7" s="109"/>
      <c r="Z7" s="109"/>
      <c r="AA7" s="109"/>
      <c r="AB7" s="109"/>
      <c r="AC7" s="107">
        <f t="shared" si="2"/>
        <v>0</v>
      </c>
      <c r="AD7" s="107">
        <f>SUMIF('Coût Activités'!C:C,Financement!B7,'Coût Activités'!AF:AF)</f>
        <v>0</v>
      </c>
      <c r="AE7" s="108"/>
      <c r="AF7" s="108"/>
      <c r="AG7" s="109"/>
      <c r="AH7" s="109"/>
      <c r="AI7" s="109"/>
      <c r="AJ7" s="109"/>
      <c r="AK7" s="109"/>
      <c r="AL7" s="107">
        <f t="shared" si="3"/>
        <v>0</v>
      </c>
      <c r="AM7" s="107">
        <f>SUMIF('Coût Activités'!C:C,Financement!B7,'Coût Activités'!AL:AL)</f>
        <v>0</v>
      </c>
      <c r="AN7" s="108"/>
      <c r="AO7" s="108"/>
      <c r="AP7" s="109"/>
      <c r="AQ7" s="109"/>
      <c r="AR7" s="109"/>
      <c r="AS7" s="109"/>
      <c r="AT7" s="109"/>
      <c r="AU7" s="107">
        <f t="shared" si="4"/>
        <v>0</v>
      </c>
    </row>
    <row r="8" spans="1:47" ht="72">
      <c r="A8" s="105"/>
      <c r="B8" s="106" t="s">
        <v>130</v>
      </c>
      <c r="C8" s="107">
        <f>SUMIF('Coût Activités'!C:C,Financement!B8,'Coût Activités'!N:N)</f>
        <v>0</v>
      </c>
      <c r="D8" s="108"/>
      <c r="E8" s="108"/>
      <c r="F8" s="109"/>
      <c r="G8" s="109"/>
      <c r="H8" s="109"/>
      <c r="I8" s="109"/>
      <c r="J8" s="109"/>
      <c r="K8" s="107">
        <f t="shared" si="0"/>
        <v>0</v>
      </c>
      <c r="L8" s="107">
        <f>SUMIF('Coût Activités'!C:C,Financement!B8,'Coût Activités'!T:T)</f>
        <v>0</v>
      </c>
      <c r="M8" s="108"/>
      <c r="N8" s="108"/>
      <c r="O8" s="109"/>
      <c r="P8" s="109"/>
      <c r="Q8" s="109"/>
      <c r="R8" s="109"/>
      <c r="S8" s="109"/>
      <c r="T8" s="107">
        <f t="shared" si="1"/>
        <v>0</v>
      </c>
      <c r="U8" s="107">
        <f>SUMIF('Coût Activités'!C:C,Financement!B8,'Coût Activités'!Z:Z)</f>
        <v>0</v>
      </c>
      <c r="V8" s="108"/>
      <c r="W8" s="108"/>
      <c r="X8" s="109"/>
      <c r="Y8" s="109"/>
      <c r="Z8" s="109"/>
      <c r="AA8" s="109"/>
      <c r="AB8" s="109"/>
      <c r="AC8" s="107">
        <f t="shared" si="2"/>
        <v>0</v>
      </c>
      <c r="AD8" s="107">
        <f>SUMIF('Coût Activités'!C:C,Financement!B8,'Coût Activités'!AF:AF)</f>
        <v>0</v>
      </c>
      <c r="AE8" s="108"/>
      <c r="AF8" s="108"/>
      <c r="AG8" s="109"/>
      <c r="AH8" s="109"/>
      <c r="AI8" s="109"/>
      <c r="AJ8" s="109"/>
      <c r="AK8" s="109"/>
      <c r="AL8" s="107">
        <f t="shared" si="3"/>
        <v>0</v>
      </c>
      <c r="AM8" s="107">
        <f>SUMIF('Coût Activités'!C:C,Financement!B8,'Coût Activités'!AL:AL)</f>
        <v>0</v>
      </c>
      <c r="AN8" s="108"/>
      <c r="AO8" s="108"/>
      <c r="AP8" s="109"/>
      <c r="AQ8" s="109"/>
      <c r="AR8" s="109"/>
      <c r="AS8" s="109"/>
      <c r="AT8" s="109"/>
      <c r="AU8" s="107">
        <f t="shared" si="4"/>
        <v>0</v>
      </c>
    </row>
    <row r="9" spans="1:47" ht="48">
      <c r="A9" s="105"/>
      <c r="B9" s="106" t="s">
        <v>131</v>
      </c>
      <c r="C9" s="107">
        <f>SUMIF('Coût Activités'!C:C,Financement!B9,'Coût Activités'!N:N)</f>
        <v>0</v>
      </c>
      <c r="D9" s="108"/>
      <c r="E9" s="108"/>
      <c r="F9" s="109"/>
      <c r="G9" s="109"/>
      <c r="H9" s="109"/>
      <c r="I9" s="109"/>
      <c r="J9" s="109"/>
      <c r="K9" s="107">
        <f t="shared" si="0"/>
        <v>0</v>
      </c>
      <c r="L9" s="107">
        <f>SUMIF('Coût Activités'!C:C,Financement!B9,'Coût Activités'!T:T)</f>
        <v>0</v>
      </c>
      <c r="M9" s="108"/>
      <c r="N9" s="108"/>
      <c r="O9" s="109"/>
      <c r="P9" s="109"/>
      <c r="Q9" s="109"/>
      <c r="R9" s="109"/>
      <c r="S9" s="109"/>
      <c r="T9" s="107">
        <f t="shared" si="1"/>
        <v>0</v>
      </c>
      <c r="U9" s="107">
        <f>SUMIF('Coût Activités'!C:C,Financement!B9,'Coût Activités'!Z:Z)</f>
        <v>0</v>
      </c>
      <c r="V9" s="108"/>
      <c r="W9" s="108"/>
      <c r="X9" s="109"/>
      <c r="Y9" s="109"/>
      <c r="Z9" s="109"/>
      <c r="AA9" s="109"/>
      <c r="AB9" s="109"/>
      <c r="AC9" s="107">
        <f t="shared" si="2"/>
        <v>0</v>
      </c>
      <c r="AD9" s="107">
        <f>SUMIF('Coût Activités'!C:C,Financement!B9,'Coût Activités'!AF:AF)</f>
        <v>0</v>
      </c>
      <c r="AE9" s="108"/>
      <c r="AF9" s="108"/>
      <c r="AG9" s="109"/>
      <c r="AH9" s="109"/>
      <c r="AI9" s="109"/>
      <c r="AJ9" s="109"/>
      <c r="AK9" s="109"/>
      <c r="AL9" s="107">
        <f t="shared" si="3"/>
        <v>0</v>
      </c>
      <c r="AM9" s="107">
        <f>SUMIF('Coût Activités'!C:C,Financement!B9,'Coût Activités'!AL:AL)</f>
        <v>0</v>
      </c>
      <c r="AN9" s="108"/>
      <c r="AO9" s="108"/>
      <c r="AP9" s="109"/>
      <c r="AQ9" s="109"/>
      <c r="AR9" s="109"/>
      <c r="AS9" s="109"/>
      <c r="AT9" s="109"/>
      <c r="AU9" s="107">
        <f t="shared" si="4"/>
        <v>0</v>
      </c>
    </row>
    <row r="10" spans="1:47" ht="60">
      <c r="A10" s="105"/>
      <c r="B10" s="106" t="s">
        <v>132</v>
      </c>
      <c r="C10" s="107">
        <f>SUMIF('Coût Activités'!C:C,Financement!B10,'Coût Activités'!N:N)</f>
        <v>0</v>
      </c>
      <c r="D10" s="108"/>
      <c r="E10" s="108"/>
      <c r="F10" s="109"/>
      <c r="G10" s="109"/>
      <c r="H10" s="109"/>
      <c r="I10" s="109"/>
      <c r="J10" s="109"/>
      <c r="K10" s="107">
        <f t="shared" si="0"/>
        <v>0</v>
      </c>
      <c r="L10" s="107">
        <f>SUMIF('Coût Activités'!C:C,Financement!B10,'Coût Activités'!T:T)</f>
        <v>0</v>
      </c>
      <c r="M10" s="108"/>
      <c r="N10" s="108"/>
      <c r="O10" s="109"/>
      <c r="P10" s="109"/>
      <c r="Q10" s="109"/>
      <c r="R10" s="109"/>
      <c r="S10" s="109"/>
      <c r="T10" s="107">
        <f t="shared" si="1"/>
        <v>0</v>
      </c>
      <c r="U10" s="107">
        <f>SUMIF('Coût Activités'!C:C,Financement!B10,'Coût Activités'!Z:Z)</f>
        <v>0</v>
      </c>
      <c r="V10" s="108"/>
      <c r="W10" s="108"/>
      <c r="X10" s="109"/>
      <c r="Y10" s="109"/>
      <c r="Z10" s="109"/>
      <c r="AA10" s="109"/>
      <c r="AB10" s="109"/>
      <c r="AC10" s="107">
        <f t="shared" si="2"/>
        <v>0</v>
      </c>
      <c r="AD10" s="107">
        <f>SUMIF('Coût Activités'!C:C,Financement!B10,'Coût Activités'!AF:AF)</f>
        <v>0</v>
      </c>
      <c r="AE10" s="108"/>
      <c r="AF10" s="108"/>
      <c r="AG10" s="109"/>
      <c r="AH10" s="109"/>
      <c r="AI10" s="109"/>
      <c r="AJ10" s="109"/>
      <c r="AK10" s="109"/>
      <c r="AL10" s="107">
        <f t="shared" si="3"/>
        <v>0</v>
      </c>
      <c r="AM10" s="107">
        <f>SUMIF('Coût Activités'!C:C,Financement!B10,'Coût Activités'!AL:AL)</f>
        <v>0</v>
      </c>
      <c r="AN10" s="108"/>
      <c r="AO10" s="108"/>
      <c r="AP10" s="109"/>
      <c r="AQ10" s="109"/>
      <c r="AR10" s="109"/>
      <c r="AS10" s="109"/>
      <c r="AT10" s="109"/>
      <c r="AU10" s="107">
        <f t="shared" si="4"/>
        <v>0</v>
      </c>
    </row>
    <row r="11" spans="1:47" ht="36">
      <c r="A11" s="105"/>
      <c r="B11" s="106" t="s">
        <v>133</v>
      </c>
      <c r="C11" s="107">
        <f>SUMIF('Coût Activités'!C:C,Financement!B11,'Coût Activités'!N:N)</f>
        <v>0</v>
      </c>
      <c r="D11" s="109"/>
      <c r="E11" s="109"/>
      <c r="F11" s="109"/>
      <c r="G11" s="109"/>
      <c r="H11" s="109"/>
      <c r="I11" s="109"/>
      <c r="J11" s="109"/>
      <c r="K11" s="107">
        <f t="shared" si="0"/>
        <v>0</v>
      </c>
      <c r="L11" s="107">
        <f>SUMIF('Coût Activités'!C:C,Financement!B11,'Coût Activités'!T:T)</f>
        <v>0</v>
      </c>
      <c r="M11" s="109"/>
      <c r="N11" s="109"/>
      <c r="O11" s="109"/>
      <c r="P11" s="109"/>
      <c r="Q11" s="109"/>
      <c r="R11" s="109"/>
      <c r="S11" s="109"/>
      <c r="T11" s="107">
        <f t="shared" si="1"/>
        <v>0</v>
      </c>
      <c r="U11" s="107">
        <f>SUMIF('Coût Activités'!C:C,Financement!B11,'Coût Activités'!Z:Z)</f>
        <v>0</v>
      </c>
      <c r="V11" s="109"/>
      <c r="W11" s="109"/>
      <c r="X11" s="109"/>
      <c r="Y11" s="109"/>
      <c r="Z11" s="109"/>
      <c r="AA11" s="109"/>
      <c r="AB11" s="109"/>
      <c r="AC11" s="107">
        <f t="shared" si="2"/>
        <v>0</v>
      </c>
      <c r="AD11" s="107">
        <f>SUMIF('Coût Activités'!C:C,Financement!B11,'Coût Activités'!AF:AF)</f>
        <v>0</v>
      </c>
      <c r="AE11" s="109"/>
      <c r="AF11" s="109"/>
      <c r="AG11" s="109"/>
      <c r="AH11" s="109"/>
      <c r="AI11" s="109"/>
      <c r="AJ11" s="109"/>
      <c r="AK11" s="109"/>
      <c r="AL11" s="107">
        <f t="shared" si="3"/>
        <v>0</v>
      </c>
      <c r="AM11" s="107">
        <f>SUMIF('Coût Activités'!C:C,Financement!B11,'Coût Activités'!AL:AL)</f>
        <v>0</v>
      </c>
      <c r="AN11" s="109"/>
      <c r="AO11" s="109"/>
      <c r="AP11" s="109"/>
      <c r="AQ11" s="109"/>
      <c r="AR11" s="109"/>
      <c r="AS11" s="109"/>
      <c r="AT11" s="109"/>
      <c r="AU11" s="107">
        <f t="shared" si="4"/>
        <v>0</v>
      </c>
    </row>
    <row r="12" spans="1:47" ht="60">
      <c r="A12" s="105" t="s">
        <v>134</v>
      </c>
      <c r="B12" s="106" t="s">
        <v>135</v>
      </c>
      <c r="C12" s="107">
        <f>SUMIF('Coût Activités'!C:C,Financement!B12,'Coût Activités'!N:N)</f>
        <v>0</v>
      </c>
      <c r="D12" s="108"/>
      <c r="E12" s="108"/>
      <c r="F12" s="109"/>
      <c r="G12" s="109"/>
      <c r="H12" s="109"/>
      <c r="I12" s="109"/>
      <c r="J12" s="109"/>
      <c r="K12" s="107">
        <f t="shared" si="0"/>
        <v>0</v>
      </c>
      <c r="L12" s="107">
        <f>SUMIF('Coût Activités'!C:C,Financement!B12,'Coût Activités'!T:T)</f>
        <v>0</v>
      </c>
      <c r="M12" s="108"/>
      <c r="N12" s="108"/>
      <c r="O12" s="109"/>
      <c r="P12" s="109"/>
      <c r="Q12" s="109"/>
      <c r="R12" s="109"/>
      <c r="S12" s="109"/>
      <c r="T12" s="107">
        <f t="shared" si="1"/>
        <v>0</v>
      </c>
      <c r="U12" s="107">
        <f>SUMIF('Coût Activités'!C:C,Financement!B12,'Coût Activités'!Z:Z)</f>
        <v>0</v>
      </c>
      <c r="V12" s="108"/>
      <c r="W12" s="108"/>
      <c r="X12" s="109"/>
      <c r="Y12" s="109"/>
      <c r="Z12" s="109"/>
      <c r="AA12" s="109"/>
      <c r="AB12" s="109"/>
      <c r="AC12" s="107">
        <f t="shared" si="2"/>
        <v>0</v>
      </c>
      <c r="AD12" s="107">
        <f>SUMIF('Coût Activités'!C:C,Financement!B12,'Coût Activités'!AF:AF)</f>
        <v>0</v>
      </c>
      <c r="AE12" s="108"/>
      <c r="AF12" s="108"/>
      <c r="AG12" s="109"/>
      <c r="AH12" s="109"/>
      <c r="AI12" s="109"/>
      <c r="AJ12" s="109"/>
      <c r="AK12" s="109"/>
      <c r="AL12" s="107">
        <f t="shared" si="3"/>
        <v>0</v>
      </c>
      <c r="AM12" s="107">
        <f>SUMIF('Coût Activités'!C:C,Financement!B12,'Coût Activités'!AL:AL)</f>
        <v>0</v>
      </c>
      <c r="AN12" s="108"/>
      <c r="AO12" s="108"/>
      <c r="AP12" s="109"/>
      <c r="AQ12" s="109"/>
      <c r="AR12" s="109"/>
      <c r="AS12" s="109"/>
      <c r="AT12" s="109"/>
      <c r="AU12" s="107">
        <f t="shared" si="4"/>
        <v>0</v>
      </c>
    </row>
    <row r="13" spans="1:47" ht="48">
      <c r="A13" s="105"/>
      <c r="B13" s="106" t="s">
        <v>136</v>
      </c>
      <c r="C13" s="107">
        <f>SUMIF('Coût Activités'!C:C,Financement!B13,'Coût Activités'!N:N)</f>
        <v>0</v>
      </c>
      <c r="D13" s="109"/>
      <c r="E13" s="109"/>
      <c r="F13" s="109"/>
      <c r="G13" s="109"/>
      <c r="H13" s="109"/>
      <c r="I13" s="109"/>
      <c r="J13" s="109"/>
      <c r="K13" s="107">
        <f t="shared" si="0"/>
        <v>0</v>
      </c>
      <c r="L13" s="107">
        <f>SUMIF('Coût Activités'!C:C,Financement!B13,'Coût Activités'!T:T)</f>
        <v>0</v>
      </c>
      <c r="M13" s="109"/>
      <c r="N13" s="109"/>
      <c r="O13" s="109"/>
      <c r="P13" s="109"/>
      <c r="Q13" s="109"/>
      <c r="R13" s="109"/>
      <c r="S13" s="109"/>
      <c r="T13" s="107">
        <f t="shared" si="1"/>
        <v>0</v>
      </c>
      <c r="U13" s="107">
        <f>SUMIF('Coût Activités'!C:C,Financement!B13,'Coût Activités'!Z:Z)</f>
        <v>0</v>
      </c>
      <c r="V13" s="109"/>
      <c r="W13" s="109"/>
      <c r="X13" s="109"/>
      <c r="Y13" s="109"/>
      <c r="Z13" s="109"/>
      <c r="AA13" s="109"/>
      <c r="AB13" s="109"/>
      <c r="AC13" s="107">
        <f t="shared" si="2"/>
        <v>0</v>
      </c>
      <c r="AD13" s="107">
        <f>SUMIF('Coût Activités'!C:C,Financement!B13,'Coût Activités'!AF:AF)</f>
        <v>0</v>
      </c>
      <c r="AE13" s="109"/>
      <c r="AF13" s="109"/>
      <c r="AG13" s="109"/>
      <c r="AH13" s="109"/>
      <c r="AI13" s="109"/>
      <c r="AJ13" s="109"/>
      <c r="AK13" s="109"/>
      <c r="AL13" s="107">
        <f t="shared" si="3"/>
        <v>0</v>
      </c>
      <c r="AM13" s="107">
        <f>SUMIF('Coût Activités'!C:C,Financement!B13,'Coût Activités'!AL:AL)</f>
        <v>0</v>
      </c>
      <c r="AN13" s="109"/>
      <c r="AO13" s="109"/>
      <c r="AP13" s="109"/>
      <c r="AQ13" s="109"/>
      <c r="AR13" s="109"/>
      <c r="AS13" s="109"/>
      <c r="AT13" s="109"/>
      <c r="AU13" s="107">
        <f t="shared" si="4"/>
        <v>0</v>
      </c>
    </row>
    <row r="14" spans="1:47" ht="48">
      <c r="A14" s="105"/>
      <c r="B14" s="106" t="s">
        <v>137</v>
      </c>
      <c r="C14" s="107">
        <f>SUMIF('Coût Activités'!C:C,Financement!B14,'Coût Activités'!N:N)</f>
        <v>0</v>
      </c>
      <c r="D14" s="108"/>
      <c r="E14" s="108"/>
      <c r="F14" s="109"/>
      <c r="G14" s="109"/>
      <c r="H14" s="109"/>
      <c r="I14" s="109"/>
      <c r="J14" s="109"/>
      <c r="K14" s="107">
        <f t="shared" si="0"/>
        <v>0</v>
      </c>
      <c r="L14" s="107">
        <f>SUMIF('Coût Activités'!C:C,Financement!B14,'Coût Activités'!T:T)</f>
        <v>0</v>
      </c>
      <c r="M14" s="108"/>
      <c r="N14" s="108"/>
      <c r="O14" s="109"/>
      <c r="P14" s="109"/>
      <c r="Q14" s="109"/>
      <c r="R14" s="109"/>
      <c r="S14" s="109"/>
      <c r="T14" s="107">
        <f t="shared" si="1"/>
        <v>0</v>
      </c>
      <c r="U14" s="107">
        <f>SUMIF('Coût Activités'!C:C,Financement!B14,'Coût Activités'!Z:Z)</f>
        <v>0</v>
      </c>
      <c r="V14" s="108"/>
      <c r="W14" s="108"/>
      <c r="X14" s="109"/>
      <c r="Y14" s="109"/>
      <c r="Z14" s="109"/>
      <c r="AA14" s="109"/>
      <c r="AB14" s="109"/>
      <c r="AC14" s="107">
        <f t="shared" si="2"/>
        <v>0</v>
      </c>
      <c r="AD14" s="107">
        <f>SUMIF('Coût Activités'!C:C,Financement!B14,'Coût Activités'!AF:AF)</f>
        <v>0</v>
      </c>
      <c r="AE14" s="108"/>
      <c r="AF14" s="108"/>
      <c r="AG14" s="109"/>
      <c r="AH14" s="109"/>
      <c r="AI14" s="109"/>
      <c r="AJ14" s="109"/>
      <c r="AK14" s="109"/>
      <c r="AL14" s="107">
        <f t="shared" si="3"/>
        <v>0</v>
      </c>
      <c r="AM14" s="107">
        <f>SUMIF('Coût Activités'!C:C,Financement!B14,'Coût Activités'!AL:AL)</f>
        <v>0</v>
      </c>
      <c r="AN14" s="108"/>
      <c r="AO14" s="108"/>
      <c r="AP14" s="109"/>
      <c r="AQ14" s="109"/>
      <c r="AR14" s="109"/>
      <c r="AS14" s="109"/>
      <c r="AT14" s="109"/>
      <c r="AU14" s="107">
        <f t="shared" si="4"/>
        <v>0</v>
      </c>
    </row>
    <row r="15" spans="1:47" ht="72">
      <c r="A15" s="105"/>
      <c r="B15" s="106" t="s">
        <v>138</v>
      </c>
      <c r="C15" s="107">
        <f>SUMIF('Coût Activités'!C:C,Financement!B15,'Coût Activités'!N:N)</f>
        <v>0</v>
      </c>
      <c r="D15" s="108"/>
      <c r="E15" s="108"/>
      <c r="F15" s="109"/>
      <c r="G15" s="109"/>
      <c r="H15" s="109"/>
      <c r="I15" s="109"/>
      <c r="J15" s="109"/>
      <c r="K15" s="107">
        <f t="shared" si="0"/>
        <v>0</v>
      </c>
      <c r="L15" s="107">
        <f>SUMIF('Coût Activités'!C:C,Financement!B15,'Coût Activités'!T:T)</f>
        <v>0</v>
      </c>
      <c r="M15" s="108"/>
      <c r="N15" s="108"/>
      <c r="O15" s="109"/>
      <c r="P15" s="109"/>
      <c r="Q15" s="109"/>
      <c r="R15" s="109"/>
      <c r="S15" s="109"/>
      <c r="T15" s="107">
        <f t="shared" si="1"/>
        <v>0</v>
      </c>
      <c r="U15" s="107">
        <f>SUMIF('Coût Activités'!C:C,Financement!B15,'Coût Activités'!Z:Z)</f>
        <v>0</v>
      </c>
      <c r="V15" s="108"/>
      <c r="W15" s="108"/>
      <c r="X15" s="109"/>
      <c r="Y15" s="109"/>
      <c r="Z15" s="109"/>
      <c r="AA15" s="109"/>
      <c r="AB15" s="109"/>
      <c r="AC15" s="107">
        <f t="shared" si="2"/>
        <v>0</v>
      </c>
      <c r="AD15" s="107">
        <f>SUMIF('Coût Activités'!C:C,Financement!B15,'Coût Activités'!AF:AF)</f>
        <v>0</v>
      </c>
      <c r="AE15" s="108"/>
      <c r="AF15" s="108"/>
      <c r="AG15" s="109"/>
      <c r="AH15" s="109"/>
      <c r="AI15" s="109"/>
      <c r="AJ15" s="109"/>
      <c r="AK15" s="109"/>
      <c r="AL15" s="107">
        <f t="shared" si="3"/>
        <v>0</v>
      </c>
      <c r="AM15" s="107">
        <f>SUMIF('Coût Activités'!C:C,Financement!B15,'Coût Activités'!AL:AL)</f>
        <v>0</v>
      </c>
      <c r="AN15" s="108"/>
      <c r="AO15" s="108"/>
      <c r="AP15" s="109"/>
      <c r="AQ15" s="109"/>
      <c r="AR15" s="109"/>
      <c r="AS15" s="109"/>
      <c r="AT15" s="109"/>
      <c r="AU15" s="107">
        <f t="shared" si="4"/>
        <v>0</v>
      </c>
    </row>
    <row r="16" spans="1:47" ht="36">
      <c r="A16" s="105" t="s">
        <v>139</v>
      </c>
      <c r="B16" s="106" t="s">
        <v>140</v>
      </c>
      <c r="C16" s="107">
        <f>SUMIF('Coût Activités'!C:C,Financement!B16,'Coût Activités'!N:N)</f>
        <v>0</v>
      </c>
      <c r="D16" s="109"/>
      <c r="E16" s="109"/>
      <c r="F16" s="109"/>
      <c r="G16" s="109"/>
      <c r="H16" s="109"/>
      <c r="I16" s="109"/>
      <c r="J16" s="109"/>
      <c r="K16" s="107">
        <f t="shared" si="0"/>
        <v>0</v>
      </c>
      <c r="L16" s="107">
        <f>SUMIF('Coût Activités'!C:C,Financement!B16,'Coût Activités'!T:T)</f>
        <v>0</v>
      </c>
      <c r="M16" s="109"/>
      <c r="N16" s="109"/>
      <c r="O16" s="109"/>
      <c r="P16" s="109"/>
      <c r="Q16" s="109"/>
      <c r="R16" s="109"/>
      <c r="S16" s="109"/>
      <c r="T16" s="107">
        <f t="shared" si="1"/>
        <v>0</v>
      </c>
      <c r="U16" s="107">
        <f>SUMIF('Coût Activités'!C:C,Financement!B16,'Coût Activités'!Z:Z)</f>
        <v>0</v>
      </c>
      <c r="V16" s="109"/>
      <c r="W16" s="109"/>
      <c r="X16" s="109"/>
      <c r="Y16" s="109"/>
      <c r="Z16" s="109"/>
      <c r="AA16" s="109"/>
      <c r="AB16" s="109"/>
      <c r="AC16" s="107">
        <f t="shared" si="2"/>
        <v>0</v>
      </c>
      <c r="AD16" s="107">
        <f>SUMIF('Coût Activités'!C:C,Financement!B16,'Coût Activités'!AF:AF)</f>
        <v>0</v>
      </c>
      <c r="AE16" s="109"/>
      <c r="AF16" s="109"/>
      <c r="AG16" s="109"/>
      <c r="AH16" s="109"/>
      <c r="AI16" s="109"/>
      <c r="AJ16" s="109"/>
      <c r="AK16" s="109"/>
      <c r="AL16" s="107">
        <f t="shared" si="3"/>
        <v>0</v>
      </c>
      <c r="AM16" s="107">
        <f>SUMIF('Coût Activités'!C:C,Financement!B16,'Coût Activités'!AL:AL)</f>
        <v>0</v>
      </c>
      <c r="AN16" s="109"/>
      <c r="AO16" s="109"/>
      <c r="AP16" s="109"/>
      <c r="AQ16" s="109"/>
      <c r="AR16" s="109"/>
      <c r="AS16" s="109"/>
      <c r="AT16" s="109"/>
      <c r="AU16" s="107">
        <f t="shared" si="4"/>
        <v>0</v>
      </c>
    </row>
    <row r="17" spans="1:47" ht="36">
      <c r="A17" s="105"/>
      <c r="B17" s="106" t="s">
        <v>141</v>
      </c>
      <c r="C17" s="107">
        <f>SUMIF('Coût Activités'!C:C,Financement!B17,'Coût Activités'!N:N)</f>
        <v>0</v>
      </c>
      <c r="D17" s="109"/>
      <c r="E17" s="109"/>
      <c r="F17" s="109"/>
      <c r="G17" s="109"/>
      <c r="H17" s="109"/>
      <c r="I17" s="109"/>
      <c r="J17" s="109"/>
      <c r="K17" s="107">
        <f t="shared" si="0"/>
        <v>0</v>
      </c>
      <c r="L17" s="107">
        <f>SUMIF('Coût Activités'!C:C,Financement!B17,'Coût Activités'!T:T)</f>
        <v>0</v>
      </c>
      <c r="M17" s="109"/>
      <c r="N17" s="109"/>
      <c r="O17" s="109"/>
      <c r="P17" s="109"/>
      <c r="Q17" s="109"/>
      <c r="R17" s="109"/>
      <c r="S17" s="109"/>
      <c r="T17" s="107">
        <f t="shared" si="1"/>
        <v>0</v>
      </c>
      <c r="U17" s="107">
        <f>SUMIF('Coût Activités'!C:C,Financement!B17,'Coût Activités'!Z:Z)</f>
        <v>0</v>
      </c>
      <c r="V17" s="109"/>
      <c r="W17" s="109"/>
      <c r="X17" s="109"/>
      <c r="Y17" s="109"/>
      <c r="Z17" s="109"/>
      <c r="AA17" s="109"/>
      <c r="AB17" s="109"/>
      <c r="AC17" s="107">
        <f t="shared" si="2"/>
        <v>0</v>
      </c>
      <c r="AD17" s="107">
        <f>SUMIF('Coût Activités'!C:C,Financement!B17,'Coût Activités'!AF:AF)</f>
        <v>0</v>
      </c>
      <c r="AE17" s="109"/>
      <c r="AF17" s="109"/>
      <c r="AG17" s="109"/>
      <c r="AH17" s="109"/>
      <c r="AI17" s="109"/>
      <c r="AJ17" s="109"/>
      <c r="AK17" s="109"/>
      <c r="AL17" s="107">
        <f t="shared" si="3"/>
        <v>0</v>
      </c>
      <c r="AM17" s="107">
        <f>SUMIF('Coût Activités'!C:C,Financement!B17,'Coût Activités'!AL:AL)</f>
        <v>0</v>
      </c>
      <c r="AN17" s="109"/>
      <c r="AO17" s="109"/>
      <c r="AP17" s="109"/>
      <c r="AQ17" s="109"/>
      <c r="AR17" s="109"/>
      <c r="AS17" s="109"/>
      <c r="AT17" s="109"/>
      <c r="AU17" s="107">
        <f t="shared" si="4"/>
        <v>0</v>
      </c>
    </row>
    <row r="18" spans="1:47" ht="36">
      <c r="A18" s="105"/>
      <c r="B18" s="106" t="s">
        <v>142</v>
      </c>
      <c r="C18" s="107">
        <f>SUMIF('Coût Activités'!C:C,Financement!B18,'Coût Activités'!N:N)</f>
        <v>0</v>
      </c>
      <c r="D18" s="108"/>
      <c r="E18" s="108"/>
      <c r="F18" s="109"/>
      <c r="G18" s="109"/>
      <c r="H18" s="109"/>
      <c r="I18" s="109"/>
      <c r="J18" s="109"/>
      <c r="K18" s="107">
        <f t="shared" si="0"/>
        <v>0</v>
      </c>
      <c r="L18" s="107">
        <f>SUMIF('Coût Activités'!C:C,Financement!B18,'Coût Activités'!T:T)</f>
        <v>0</v>
      </c>
      <c r="M18" s="108"/>
      <c r="N18" s="108"/>
      <c r="O18" s="109"/>
      <c r="P18" s="109"/>
      <c r="Q18" s="109"/>
      <c r="R18" s="109"/>
      <c r="S18" s="109"/>
      <c r="T18" s="107">
        <f t="shared" si="1"/>
        <v>0</v>
      </c>
      <c r="U18" s="107">
        <f>SUMIF('Coût Activités'!C:C,Financement!B18,'Coût Activités'!Z:Z)</f>
        <v>0</v>
      </c>
      <c r="V18" s="108"/>
      <c r="W18" s="108"/>
      <c r="X18" s="109"/>
      <c r="Y18" s="109"/>
      <c r="Z18" s="109"/>
      <c r="AA18" s="109"/>
      <c r="AB18" s="109"/>
      <c r="AC18" s="107">
        <f t="shared" si="2"/>
        <v>0</v>
      </c>
      <c r="AD18" s="107">
        <f>SUMIF('Coût Activités'!C:C,Financement!B18,'Coût Activités'!AF:AF)</f>
        <v>0</v>
      </c>
      <c r="AE18" s="108"/>
      <c r="AF18" s="108"/>
      <c r="AG18" s="109"/>
      <c r="AH18" s="109"/>
      <c r="AI18" s="109"/>
      <c r="AJ18" s="109"/>
      <c r="AK18" s="109"/>
      <c r="AL18" s="107">
        <f t="shared" si="3"/>
        <v>0</v>
      </c>
      <c r="AM18" s="107">
        <f>SUMIF('Coût Activités'!C:C,Financement!B18,'Coût Activités'!AL:AL)</f>
        <v>0</v>
      </c>
      <c r="AN18" s="108"/>
      <c r="AO18" s="108"/>
      <c r="AP18" s="109"/>
      <c r="AQ18" s="109"/>
      <c r="AR18" s="109"/>
      <c r="AS18" s="109"/>
      <c r="AT18" s="109"/>
      <c r="AU18" s="107">
        <f t="shared" si="4"/>
        <v>0</v>
      </c>
    </row>
    <row r="19" spans="1:47" ht="36">
      <c r="A19" s="105"/>
      <c r="B19" s="106" t="s">
        <v>143</v>
      </c>
      <c r="C19" s="107">
        <f>SUMIF('Coût Activités'!C:C,Financement!B19,'Coût Activités'!N:N)</f>
        <v>0</v>
      </c>
      <c r="D19" s="108"/>
      <c r="E19" s="108"/>
      <c r="F19" s="109"/>
      <c r="G19" s="109"/>
      <c r="H19" s="109"/>
      <c r="I19" s="109"/>
      <c r="J19" s="109"/>
      <c r="K19" s="107">
        <f t="shared" si="0"/>
        <v>0</v>
      </c>
      <c r="L19" s="107">
        <f>SUMIF('Coût Activités'!C:C,Financement!B19,'Coût Activités'!T:T)</f>
        <v>0</v>
      </c>
      <c r="M19" s="108"/>
      <c r="N19" s="108"/>
      <c r="O19" s="109"/>
      <c r="P19" s="109"/>
      <c r="Q19" s="109"/>
      <c r="R19" s="109"/>
      <c r="S19" s="109"/>
      <c r="T19" s="107">
        <f t="shared" si="1"/>
        <v>0</v>
      </c>
      <c r="U19" s="107">
        <f>SUMIF('Coût Activités'!C:C,Financement!B19,'Coût Activités'!Z:Z)</f>
        <v>0</v>
      </c>
      <c r="V19" s="108"/>
      <c r="W19" s="108"/>
      <c r="X19" s="109"/>
      <c r="Y19" s="109"/>
      <c r="Z19" s="109"/>
      <c r="AA19" s="109"/>
      <c r="AB19" s="109"/>
      <c r="AC19" s="107">
        <f t="shared" si="2"/>
        <v>0</v>
      </c>
      <c r="AD19" s="107">
        <f>SUMIF('Coût Activités'!C:C,Financement!B19,'Coût Activités'!AF:AF)</f>
        <v>0</v>
      </c>
      <c r="AE19" s="108"/>
      <c r="AF19" s="108"/>
      <c r="AG19" s="109"/>
      <c r="AH19" s="109"/>
      <c r="AI19" s="109"/>
      <c r="AJ19" s="109"/>
      <c r="AK19" s="109"/>
      <c r="AL19" s="107">
        <f t="shared" si="3"/>
        <v>0</v>
      </c>
      <c r="AM19" s="107">
        <f>SUMIF('Coût Activités'!C:C,Financement!B19,'Coût Activités'!AL:AL)</f>
        <v>0</v>
      </c>
      <c r="AN19" s="108"/>
      <c r="AO19" s="108"/>
      <c r="AP19" s="109"/>
      <c r="AQ19" s="109"/>
      <c r="AR19" s="109"/>
      <c r="AS19" s="109"/>
      <c r="AT19" s="109"/>
      <c r="AU19" s="107">
        <f t="shared" si="4"/>
        <v>0</v>
      </c>
    </row>
    <row r="20" spans="1:47" ht="36">
      <c r="A20" s="105" t="s">
        <v>144</v>
      </c>
      <c r="B20" s="106" t="s">
        <v>145</v>
      </c>
      <c r="C20" s="107">
        <f>SUMIF('Coût Activités'!C:C,Financement!B20,'Coût Activités'!N:N)</f>
        <v>0</v>
      </c>
      <c r="D20" s="108"/>
      <c r="E20" s="108"/>
      <c r="F20" s="109"/>
      <c r="G20" s="109"/>
      <c r="H20" s="109"/>
      <c r="I20" s="109"/>
      <c r="J20" s="109"/>
      <c r="K20" s="107">
        <f t="shared" si="0"/>
        <v>0</v>
      </c>
      <c r="L20" s="107">
        <f>SUMIF('Coût Activités'!C:C,Financement!B20,'Coût Activités'!T:T)</f>
        <v>0</v>
      </c>
      <c r="M20" s="108"/>
      <c r="N20" s="108"/>
      <c r="O20" s="109"/>
      <c r="P20" s="109"/>
      <c r="Q20" s="109"/>
      <c r="R20" s="109"/>
      <c r="S20" s="109"/>
      <c r="T20" s="107">
        <f t="shared" si="1"/>
        <v>0</v>
      </c>
      <c r="U20" s="107">
        <f>SUMIF('Coût Activités'!C:C,Financement!B20,'Coût Activités'!Z:Z)</f>
        <v>0</v>
      </c>
      <c r="V20" s="108"/>
      <c r="W20" s="108"/>
      <c r="X20" s="109"/>
      <c r="Y20" s="109"/>
      <c r="Z20" s="109"/>
      <c r="AA20" s="109"/>
      <c r="AB20" s="109"/>
      <c r="AC20" s="107">
        <f t="shared" si="2"/>
        <v>0</v>
      </c>
      <c r="AD20" s="107">
        <f>SUMIF('Coût Activités'!C:C,Financement!B20,'Coût Activités'!AF:AF)</f>
        <v>0</v>
      </c>
      <c r="AE20" s="108"/>
      <c r="AF20" s="108"/>
      <c r="AG20" s="109"/>
      <c r="AH20" s="109"/>
      <c r="AI20" s="109"/>
      <c r="AJ20" s="109"/>
      <c r="AK20" s="109"/>
      <c r="AL20" s="107">
        <f t="shared" si="3"/>
        <v>0</v>
      </c>
      <c r="AM20" s="107">
        <f>SUMIF('Coût Activités'!C:C,Financement!B20,'Coût Activités'!AL:AL)</f>
        <v>0</v>
      </c>
      <c r="AN20" s="108"/>
      <c r="AO20" s="108"/>
      <c r="AP20" s="109"/>
      <c r="AQ20" s="109"/>
      <c r="AR20" s="109"/>
      <c r="AS20" s="109"/>
      <c r="AT20" s="109"/>
      <c r="AU20" s="107">
        <f t="shared" si="4"/>
        <v>0</v>
      </c>
    </row>
    <row r="21" spans="1:47" ht="60">
      <c r="A21" s="105"/>
      <c r="B21" s="106" t="s">
        <v>146</v>
      </c>
      <c r="C21" s="107">
        <f>SUMIF('Coût Activités'!C:C,Financement!B21,'Coût Activités'!N:N)</f>
        <v>0</v>
      </c>
      <c r="D21" s="108"/>
      <c r="E21" s="108"/>
      <c r="F21" s="109"/>
      <c r="G21" s="109"/>
      <c r="H21" s="109"/>
      <c r="I21" s="109"/>
      <c r="J21" s="109"/>
      <c r="K21" s="107">
        <f t="shared" si="0"/>
        <v>0</v>
      </c>
      <c r="L21" s="107">
        <f>SUMIF('Coût Activités'!C:C,Financement!B21,'Coût Activités'!T:T)</f>
        <v>0</v>
      </c>
      <c r="M21" s="108"/>
      <c r="N21" s="108"/>
      <c r="O21" s="109"/>
      <c r="P21" s="109"/>
      <c r="Q21" s="109"/>
      <c r="R21" s="109"/>
      <c r="S21" s="109"/>
      <c r="T21" s="107">
        <f t="shared" si="1"/>
        <v>0</v>
      </c>
      <c r="U21" s="107">
        <f>SUMIF('Coût Activités'!C:C,Financement!B21,'Coût Activités'!Z:Z)</f>
        <v>0</v>
      </c>
      <c r="V21" s="108"/>
      <c r="W21" s="108"/>
      <c r="X21" s="109"/>
      <c r="Y21" s="109"/>
      <c r="Z21" s="109"/>
      <c r="AA21" s="109"/>
      <c r="AB21" s="109"/>
      <c r="AC21" s="107">
        <f t="shared" si="2"/>
        <v>0</v>
      </c>
      <c r="AD21" s="107">
        <f>SUMIF('Coût Activités'!C:C,Financement!B21,'Coût Activités'!AF:AF)</f>
        <v>0</v>
      </c>
      <c r="AE21" s="108"/>
      <c r="AF21" s="108"/>
      <c r="AG21" s="109"/>
      <c r="AH21" s="109"/>
      <c r="AI21" s="109"/>
      <c r="AJ21" s="109"/>
      <c r="AK21" s="109"/>
      <c r="AL21" s="107">
        <f t="shared" si="3"/>
        <v>0</v>
      </c>
      <c r="AM21" s="107">
        <f>SUMIF('Coût Activités'!C:C,Financement!B21,'Coût Activités'!AL:AL)</f>
        <v>0</v>
      </c>
      <c r="AN21" s="108"/>
      <c r="AO21" s="108"/>
      <c r="AP21" s="109"/>
      <c r="AQ21" s="109"/>
      <c r="AR21" s="109"/>
      <c r="AS21" s="109"/>
      <c r="AT21" s="109"/>
      <c r="AU21" s="107">
        <f t="shared" si="4"/>
        <v>0</v>
      </c>
    </row>
    <row r="22" spans="1:47" ht="36">
      <c r="A22" s="105"/>
      <c r="B22" s="106" t="s">
        <v>147</v>
      </c>
      <c r="C22" s="107">
        <f>SUMIF('Coût Activités'!C:C,Financement!B22,'Coût Activités'!N:N)</f>
        <v>0</v>
      </c>
      <c r="D22" s="108"/>
      <c r="E22" s="108"/>
      <c r="F22" s="109"/>
      <c r="G22" s="109"/>
      <c r="H22" s="109"/>
      <c r="I22" s="109"/>
      <c r="J22" s="109"/>
      <c r="K22" s="107">
        <f t="shared" si="0"/>
        <v>0</v>
      </c>
      <c r="L22" s="107">
        <f>SUMIF('Coût Activités'!C:C,Financement!B22,'Coût Activités'!T:T)</f>
        <v>0</v>
      </c>
      <c r="M22" s="108"/>
      <c r="N22" s="108"/>
      <c r="O22" s="109"/>
      <c r="P22" s="109"/>
      <c r="Q22" s="109"/>
      <c r="R22" s="109"/>
      <c r="S22" s="109"/>
      <c r="T22" s="107">
        <f t="shared" si="1"/>
        <v>0</v>
      </c>
      <c r="U22" s="107">
        <f>SUMIF('Coût Activités'!C:C,Financement!B22,'Coût Activités'!Z:Z)</f>
        <v>0</v>
      </c>
      <c r="V22" s="108"/>
      <c r="W22" s="108"/>
      <c r="X22" s="109"/>
      <c r="Y22" s="109"/>
      <c r="Z22" s="109"/>
      <c r="AA22" s="109"/>
      <c r="AB22" s="109"/>
      <c r="AC22" s="107">
        <f t="shared" si="2"/>
        <v>0</v>
      </c>
      <c r="AD22" s="107">
        <f>SUMIF('Coût Activités'!C:C,Financement!B22,'Coût Activités'!AF:AF)</f>
        <v>0</v>
      </c>
      <c r="AE22" s="108"/>
      <c r="AF22" s="108"/>
      <c r="AG22" s="109"/>
      <c r="AH22" s="109"/>
      <c r="AI22" s="109"/>
      <c r="AJ22" s="109"/>
      <c r="AK22" s="109"/>
      <c r="AL22" s="107">
        <f t="shared" si="3"/>
        <v>0</v>
      </c>
      <c r="AM22" s="107">
        <f>SUMIF('Coût Activités'!C:C,Financement!B22,'Coût Activités'!AL:AL)</f>
        <v>0</v>
      </c>
      <c r="AN22" s="108"/>
      <c r="AO22" s="108"/>
      <c r="AP22" s="109"/>
      <c r="AQ22" s="109"/>
      <c r="AR22" s="109"/>
      <c r="AS22" s="109"/>
      <c r="AT22" s="109"/>
      <c r="AU22" s="107">
        <f t="shared" si="4"/>
        <v>0</v>
      </c>
    </row>
    <row r="23" spans="1:47" ht="24">
      <c r="A23" s="105"/>
      <c r="B23" s="106" t="s">
        <v>148</v>
      </c>
      <c r="C23" s="107">
        <f>SUMIF('Coût Activités'!C:C,Financement!B23,'Coût Activités'!N:N)</f>
        <v>0</v>
      </c>
      <c r="D23" s="108"/>
      <c r="E23" s="108"/>
      <c r="F23" s="109"/>
      <c r="G23" s="109"/>
      <c r="H23" s="109"/>
      <c r="I23" s="109"/>
      <c r="J23" s="109"/>
      <c r="K23" s="107">
        <f t="shared" si="0"/>
        <v>0</v>
      </c>
      <c r="L23" s="107">
        <f>SUMIF('Coût Activités'!C:C,Financement!B23,'Coût Activités'!T:T)</f>
        <v>0</v>
      </c>
      <c r="M23" s="108"/>
      <c r="N23" s="108"/>
      <c r="O23" s="109"/>
      <c r="P23" s="109"/>
      <c r="Q23" s="109"/>
      <c r="R23" s="109"/>
      <c r="S23" s="109"/>
      <c r="T23" s="107">
        <f t="shared" si="1"/>
        <v>0</v>
      </c>
      <c r="U23" s="107">
        <f>SUMIF('Coût Activités'!C:C,Financement!B23,'Coût Activités'!Z:Z)</f>
        <v>0</v>
      </c>
      <c r="V23" s="108"/>
      <c r="W23" s="108"/>
      <c r="X23" s="109"/>
      <c r="Y23" s="109"/>
      <c r="Z23" s="109"/>
      <c r="AA23" s="109"/>
      <c r="AB23" s="109"/>
      <c r="AC23" s="107">
        <f t="shared" si="2"/>
        <v>0</v>
      </c>
      <c r="AD23" s="107">
        <f>SUMIF('Coût Activités'!C:C,Financement!B23,'Coût Activités'!AF:AF)</f>
        <v>0</v>
      </c>
      <c r="AE23" s="108"/>
      <c r="AF23" s="108"/>
      <c r="AG23" s="109"/>
      <c r="AH23" s="109"/>
      <c r="AI23" s="109"/>
      <c r="AJ23" s="109"/>
      <c r="AK23" s="109"/>
      <c r="AL23" s="107">
        <f t="shared" si="3"/>
        <v>0</v>
      </c>
      <c r="AM23" s="107">
        <f>SUMIF('Coût Activités'!C:C,Financement!B23,'Coût Activités'!AL:AL)</f>
        <v>0</v>
      </c>
      <c r="AN23" s="108"/>
      <c r="AO23" s="108"/>
      <c r="AP23" s="109"/>
      <c r="AQ23" s="109"/>
      <c r="AR23" s="109"/>
      <c r="AS23" s="109"/>
      <c r="AT23" s="109"/>
      <c r="AU23" s="107">
        <f t="shared" si="4"/>
        <v>0</v>
      </c>
    </row>
    <row r="24" spans="1:47">
      <c r="A24" s="102" t="s">
        <v>149</v>
      </c>
      <c r="B24" s="102"/>
      <c r="C24" s="110">
        <f t="shared" ref="C24:AU24" si="5">SUM(C12:C23)</f>
        <v>0</v>
      </c>
      <c r="D24" s="110">
        <f t="shared" si="5"/>
        <v>0</v>
      </c>
      <c r="E24" s="110">
        <f t="shared" si="5"/>
        <v>0</v>
      </c>
      <c r="F24" s="110">
        <f t="shared" si="5"/>
        <v>0</v>
      </c>
      <c r="G24" s="110">
        <f t="shared" si="5"/>
        <v>0</v>
      </c>
      <c r="H24" s="110">
        <f t="shared" si="5"/>
        <v>0</v>
      </c>
      <c r="I24" s="110">
        <f t="shared" si="5"/>
        <v>0</v>
      </c>
      <c r="J24" s="110">
        <f t="shared" si="5"/>
        <v>0</v>
      </c>
      <c r="K24" s="110">
        <f t="shared" si="5"/>
        <v>0</v>
      </c>
      <c r="L24" s="110">
        <f t="shared" si="5"/>
        <v>0</v>
      </c>
      <c r="M24" s="110">
        <f t="shared" si="5"/>
        <v>0</v>
      </c>
      <c r="N24" s="110">
        <f t="shared" si="5"/>
        <v>0</v>
      </c>
      <c r="O24" s="110">
        <f t="shared" si="5"/>
        <v>0</v>
      </c>
      <c r="P24" s="110">
        <f t="shared" si="5"/>
        <v>0</v>
      </c>
      <c r="Q24" s="110">
        <f t="shared" si="5"/>
        <v>0</v>
      </c>
      <c r="R24" s="110">
        <f t="shared" si="5"/>
        <v>0</v>
      </c>
      <c r="S24" s="110">
        <f t="shared" si="5"/>
        <v>0</v>
      </c>
      <c r="T24" s="110">
        <f t="shared" si="5"/>
        <v>0</v>
      </c>
      <c r="U24" s="110">
        <f t="shared" si="5"/>
        <v>0</v>
      </c>
      <c r="V24" s="110">
        <f t="shared" si="5"/>
        <v>0</v>
      </c>
      <c r="W24" s="110">
        <f t="shared" si="5"/>
        <v>0</v>
      </c>
      <c r="X24" s="110">
        <f t="shared" si="5"/>
        <v>0</v>
      </c>
      <c r="Y24" s="110">
        <f t="shared" si="5"/>
        <v>0</v>
      </c>
      <c r="Z24" s="110">
        <f t="shared" si="5"/>
        <v>0</v>
      </c>
      <c r="AA24" s="110">
        <f t="shared" si="5"/>
        <v>0</v>
      </c>
      <c r="AB24" s="110">
        <f t="shared" si="5"/>
        <v>0</v>
      </c>
      <c r="AC24" s="110">
        <f t="shared" si="5"/>
        <v>0</v>
      </c>
      <c r="AD24" s="110">
        <f t="shared" si="5"/>
        <v>0</v>
      </c>
      <c r="AE24" s="110">
        <f t="shared" si="5"/>
        <v>0</v>
      </c>
      <c r="AF24" s="110">
        <f t="shared" si="5"/>
        <v>0</v>
      </c>
      <c r="AG24" s="110">
        <f t="shared" si="5"/>
        <v>0</v>
      </c>
      <c r="AH24" s="110">
        <f t="shared" si="5"/>
        <v>0</v>
      </c>
      <c r="AI24" s="110">
        <f t="shared" si="5"/>
        <v>0</v>
      </c>
      <c r="AJ24" s="110">
        <f t="shared" si="5"/>
        <v>0</v>
      </c>
      <c r="AK24" s="110">
        <f t="shared" si="5"/>
        <v>0</v>
      </c>
      <c r="AL24" s="110">
        <f t="shared" si="5"/>
        <v>0</v>
      </c>
      <c r="AM24" s="110">
        <f t="shared" si="5"/>
        <v>0</v>
      </c>
      <c r="AN24" s="110">
        <f t="shared" si="5"/>
        <v>0</v>
      </c>
      <c r="AO24" s="110">
        <f t="shared" si="5"/>
        <v>0</v>
      </c>
      <c r="AP24" s="110">
        <f t="shared" si="5"/>
        <v>0</v>
      </c>
      <c r="AQ24" s="110">
        <f t="shared" si="5"/>
        <v>0</v>
      </c>
      <c r="AR24" s="110">
        <f t="shared" si="5"/>
        <v>0</v>
      </c>
      <c r="AS24" s="110">
        <f t="shared" si="5"/>
        <v>0</v>
      </c>
      <c r="AT24" s="110">
        <f t="shared" si="5"/>
        <v>0</v>
      </c>
      <c r="AU24" s="110">
        <f t="shared" si="5"/>
        <v>0</v>
      </c>
    </row>
    <row r="25" spans="1:47">
      <c r="A25" s="111"/>
    </row>
    <row r="26" spans="1:47" ht="15.75">
      <c r="A26" s="99" t="s">
        <v>150</v>
      </c>
    </row>
    <row r="27" spans="1:47">
      <c r="A27" s="100" t="s">
        <v>116</v>
      </c>
      <c r="B27" s="101"/>
      <c r="C27" s="102">
        <f>C2</f>
        <v>2018</v>
      </c>
      <c r="D27" s="102"/>
      <c r="E27" s="102"/>
      <c r="F27" s="102"/>
      <c r="G27" s="102"/>
      <c r="H27" s="102"/>
      <c r="I27" s="102"/>
      <c r="J27" s="102"/>
      <c r="K27" s="102"/>
      <c r="L27" s="102">
        <f>L2</f>
        <v>2019</v>
      </c>
      <c r="M27" s="102"/>
      <c r="N27" s="102"/>
      <c r="O27" s="102"/>
      <c r="P27" s="102"/>
      <c r="Q27" s="102"/>
      <c r="R27" s="102"/>
      <c r="S27" s="102"/>
      <c r="T27" s="102"/>
      <c r="U27" s="102">
        <f>U2</f>
        <v>2020</v>
      </c>
      <c r="V27" s="102"/>
      <c r="W27" s="102"/>
      <c r="X27" s="102"/>
      <c r="Y27" s="102"/>
      <c r="Z27" s="102"/>
      <c r="AA27" s="102"/>
      <c r="AB27" s="102"/>
      <c r="AC27" s="102"/>
      <c r="AD27" s="102">
        <f>AD2</f>
        <v>2021</v>
      </c>
      <c r="AE27" s="102"/>
      <c r="AF27" s="102"/>
      <c r="AG27" s="102"/>
      <c r="AH27" s="102"/>
      <c r="AI27" s="102"/>
      <c r="AJ27" s="102"/>
      <c r="AK27" s="102"/>
      <c r="AL27" s="102"/>
      <c r="AM27" s="102">
        <f>AM2</f>
        <v>2022</v>
      </c>
      <c r="AN27" s="102"/>
      <c r="AO27" s="102"/>
      <c r="AP27" s="102"/>
      <c r="AQ27" s="102"/>
      <c r="AR27" s="102"/>
      <c r="AS27" s="102"/>
      <c r="AT27" s="102"/>
      <c r="AU27" s="102"/>
    </row>
    <row r="28" spans="1:47">
      <c r="A28" s="100"/>
      <c r="B28" s="101"/>
      <c r="C28" s="103" t="s">
        <v>54</v>
      </c>
      <c r="D28" s="104" t="s">
        <v>151</v>
      </c>
      <c r="E28" s="104" t="str">
        <f t="shared" ref="E28:J28" si="6">E3</f>
        <v>USAID</v>
      </c>
      <c r="F28" s="104" t="str">
        <f t="shared" si="6"/>
        <v>APOC</v>
      </c>
      <c r="G28" s="104" t="str">
        <f t="shared" si="6"/>
        <v>ITI</v>
      </c>
      <c r="H28" s="104" t="str">
        <f t="shared" si="6"/>
        <v>CNTD</v>
      </c>
      <c r="I28" s="104">
        <f t="shared" si="6"/>
        <v>0</v>
      </c>
      <c r="J28" s="104">
        <f t="shared" si="6"/>
        <v>0</v>
      </c>
      <c r="K28" s="103" t="s">
        <v>124</v>
      </c>
      <c r="L28" s="103" t="s">
        <v>54</v>
      </c>
      <c r="M28" s="104" t="s">
        <v>151</v>
      </c>
      <c r="N28" s="104" t="str">
        <f t="shared" ref="N28:S28" si="7">N3</f>
        <v>USAID</v>
      </c>
      <c r="O28" s="104" t="str">
        <f t="shared" si="7"/>
        <v>APOC</v>
      </c>
      <c r="P28" s="104" t="str">
        <f t="shared" si="7"/>
        <v>ITI</v>
      </c>
      <c r="Q28" s="104" t="str">
        <f t="shared" si="7"/>
        <v>CNTD</v>
      </c>
      <c r="R28" s="130">
        <f t="shared" si="7"/>
        <v>0</v>
      </c>
      <c r="S28" s="104">
        <f t="shared" si="7"/>
        <v>0</v>
      </c>
      <c r="T28" s="103" t="s">
        <v>124</v>
      </c>
      <c r="U28" s="103" t="s">
        <v>54</v>
      </c>
      <c r="V28" s="104" t="s">
        <v>151</v>
      </c>
      <c r="W28" s="104" t="str">
        <f t="shared" ref="W28:AB28" si="8">W3</f>
        <v>USAID</v>
      </c>
      <c r="X28" s="104" t="str">
        <f t="shared" si="8"/>
        <v>APOC</v>
      </c>
      <c r="Y28" s="104" t="str">
        <f t="shared" si="8"/>
        <v>ITI</v>
      </c>
      <c r="Z28" s="104" t="str">
        <f t="shared" si="8"/>
        <v>CNTD</v>
      </c>
      <c r="AA28" s="130">
        <f t="shared" si="8"/>
        <v>0</v>
      </c>
      <c r="AB28" s="104">
        <f t="shared" si="8"/>
        <v>0</v>
      </c>
      <c r="AC28" s="103" t="s">
        <v>124</v>
      </c>
      <c r="AD28" s="103" t="s">
        <v>54</v>
      </c>
      <c r="AE28" s="104" t="s">
        <v>151</v>
      </c>
      <c r="AF28" s="104" t="str">
        <f t="shared" ref="AF28:AK28" si="9">AF3</f>
        <v>USAID</v>
      </c>
      <c r="AG28" s="104" t="str">
        <f t="shared" si="9"/>
        <v>APOC</v>
      </c>
      <c r="AH28" s="104" t="str">
        <f t="shared" si="9"/>
        <v>ITI</v>
      </c>
      <c r="AI28" s="104" t="str">
        <f t="shared" si="9"/>
        <v>CNTD</v>
      </c>
      <c r="AJ28" s="130">
        <f t="shared" si="9"/>
        <v>0</v>
      </c>
      <c r="AK28" s="104">
        <f t="shared" si="9"/>
        <v>0</v>
      </c>
      <c r="AL28" s="103" t="s">
        <v>124</v>
      </c>
      <c r="AM28" s="103" t="s">
        <v>54</v>
      </c>
      <c r="AN28" s="104" t="s">
        <v>151</v>
      </c>
      <c r="AO28" s="104" t="str">
        <f t="shared" ref="AO28:AT28" si="10">AO3</f>
        <v>USAID</v>
      </c>
      <c r="AP28" s="104" t="str">
        <f t="shared" si="10"/>
        <v>APOC</v>
      </c>
      <c r="AQ28" s="104" t="str">
        <f t="shared" si="10"/>
        <v>ITI</v>
      </c>
      <c r="AR28" s="104" t="str">
        <f t="shared" si="10"/>
        <v>CNTD</v>
      </c>
      <c r="AS28" s="130">
        <f t="shared" si="10"/>
        <v>0</v>
      </c>
      <c r="AT28" s="104">
        <f t="shared" si="10"/>
        <v>0</v>
      </c>
      <c r="AU28" s="103" t="s">
        <v>124</v>
      </c>
    </row>
    <row r="29" spans="1:47">
      <c r="A29" s="112" t="s">
        <v>152</v>
      </c>
      <c r="B29" s="113"/>
      <c r="C29" s="107">
        <f>SUM('Coût des investissements'!D3:D1000)</f>
        <v>0</v>
      </c>
      <c r="D29" s="109"/>
      <c r="E29" s="109"/>
      <c r="F29" s="109"/>
      <c r="G29" s="109"/>
      <c r="H29" s="109"/>
      <c r="I29" s="109"/>
      <c r="J29" s="109"/>
      <c r="K29" s="107">
        <f>C29-(SUM(D29:J29))</f>
        <v>0</v>
      </c>
      <c r="L29" s="107">
        <f>SUM('Coût des investissements'!E3:E1000)</f>
        <v>0</v>
      </c>
      <c r="M29" s="109"/>
      <c r="N29" s="109"/>
      <c r="O29" s="109"/>
      <c r="P29" s="109"/>
      <c r="Q29" s="109"/>
      <c r="R29" s="109"/>
      <c r="S29" s="109"/>
      <c r="T29" s="107">
        <f>L29-(SUM(M29:S29))</f>
        <v>0</v>
      </c>
      <c r="U29" s="107">
        <f>SUM('Coût des investissements'!F3:F1000)</f>
        <v>0</v>
      </c>
      <c r="V29" s="109"/>
      <c r="W29" s="109"/>
      <c r="X29" s="109"/>
      <c r="Y29" s="109"/>
      <c r="Z29" s="109"/>
      <c r="AA29" s="109"/>
      <c r="AB29" s="109"/>
      <c r="AC29" s="107">
        <f>U29-(SUM(V29:AB29))</f>
        <v>0</v>
      </c>
      <c r="AD29" s="107">
        <f>SUM('Coût des investissements'!G3:G1000)</f>
        <v>0</v>
      </c>
      <c r="AE29" s="109"/>
      <c r="AF29" s="109"/>
      <c r="AG29" s="109"/>
      <c r="AH29" s="109"/>
      <c r="AI29" s="109"/>
      <c r="AJ29" s="109"/>
      <c r="AK29" s="109"/>
      <c r="AL29" s="107">
        <f>AD29-(SUM(AE29:AK29))</f>
        <v>0</v>
      </c>
      <c r="AM29" s="107">
        <f>SUM('Coût des investissements'!H3:H1000)</f>
        <v>0</v>
      </c>
      <c r="AN29" s="109"/>
      <c r="AO29" s="109"/>
      <c r="AP29" s="109"/>
      <c r="AQ29" s="109"/>
      <c r="AR29" s="109"/>
      <c r="AS29" s="109"/>
      <c r="AT29" s="109"/>
      <c r="AU29" s="107">
        <f>AM29-(SUM(AN29:AT29))</f>
        <v>0</v>
      </c>
    </row>
    <row r="30" spans="1:47">
      <c r="A30" s="114"/>
      <c r="B30" s="115"/>
      <c r="C30" s="116"/>
      <c r="D30" s="117"/>
      <c r="E30" s="117"/>
      <c r="F30" s="117"/>
      <c r="G30" s="117"/>
      <c r="H30" s="117"/>
      <c r="I30" s="117"/>
      <c r="J30" s="117"/>
      <c r="K30" s="116"/>
      <c r="L30" s="116"/>
      <c r="M30" s="117"/>
      <c r="N30" s="117"/>
      <c r="O30" s="117"/>
      <c r="P30" s="117"/>
      <c r="Q30" s="117"/>
      <c r="R30" s="117"/>
      <c r="S30" s="117"/>
      <c r="T30" s="116"/>
      <c r="U30" s="116"/>
      <c r="V30" s="117"/>
      <c r="W30" s="117"/>
      <c r="X30" s="117"/>
      <c r="Y30" s="117"/>
      <c r="Z30" s="117"/>
      <c r="AA30" s="117"/>
      <c r="AB30" s="117"/>
      <c r="AC30" s="116"/>
      <c r="AD30" s="116"/>
      <c r="AE30" s="117"/>
      <c r="AF30" s="117"/>
      <c r="AG30" s="117"/>
      <c r="AH30" s="117"/>
      <c r="AI30" s="117"/>
      <c r="AJ30" s="117"/>
      <c r="AK30" s="117"/>
      <c r="AL30" s="116"/>
      <c r="AM30" s="116"/>
      <c r="AN30" s="117"/>
      <c r="AO30" s="117"/>
      <c r="AP30" s="117"/>
      <c r="AQ30" s="117"/>
      <c r="AR30" s="117"/>
      <c r="AS30" s="117"/>
      <c r="AT30" s="117"/>
      <c r="AU30" s="116"/>
    </row>
    <row r="31" spans="1:47" ht="15.75">
      <c r="A31" s="99" t="s">
        <v>153</v>
      </c>
      <c r="B31" s="51"/>
    </row>
    <row r="32" spans="1:47">
      <c r="A32" s="103" t="s">
        <v>154</v>
      </c>
      <c r="B32" s="103"/>
      <c r="C32" s="102">
        <f>C2</f>
        <v>2018</v>
      </c>
      <c r="D32" s="102"/>
      <c r="E32" s="102"/>
      <c r="F32" s="102"/>
      <c r="G32" s="102"/>
      <c r="H32" s="102"/>
      <c r="I32" s="102"/>
      <c r="J32" s="102"/>
      <c r="K32" s="102"/>
      <c r="L32" s="102">
        <f>L2</f>
        <v>2019</v>
      </c>
      <c r="M32" s="102"/>
      <c r="N32" s="102"/>
      <c r="O32" s="102"/>
      <c r="P32" s="102"/>
      <c r="Q32" s="102"/>
      <c r="R32" s="102"/>
      <c r="S32" s="102"/>
      <c r="T32" s="102"/>
      <c r="U32" s="102">
        <f>U2</f>
        <v>2020</v>
      </c>
      <c r="V32" s="102"/>
      <c r="W32" s="102"/>
      <c r="X32" s="102"/>
      <c r="Y32" s="102"/>
      <c r="Z32" s="102"/>
      <c r="AA32" s="102"/>
      <c r="AB32" s="102"/>
      <c r="AC32" s="102"/>
      <c r="AD32" s="102">
        <f>AD2</f>
        <v>2021</v>
      </c>
      <c r="AE32" s="102"/>
      <c r="AF32" s="102"/>
      <c r="AG32" s="102"/>
      <c r="AH32" s="102"/>
      <c r="AI32" s="102"/>
      <c r="AJ32" s="102"/>
      <c r="AK32" s="102"/>
      <c r="AL32" s="102"/>
      <c r="AM32" s="102">
        <f>AM2</f>
        <v>2022</v>
      </c>
      <c r="AN32" s="102"/>
      <c r="AO32" s="102"/>
      <c r="AP32" s="102"/>
      <c r="AQ32" s="102"/>
      <c r="AR32" s="102"/>
      <c r="AS32" s="102"/>
      <c r="AT32" s="102"/>
      <c r="AU32" s="102"/>
    </row>
    <row r="33" spans="1:47">
      <c r="A33" s="103"/>
      <c r="B33" s="103"/>
      <c r="C33" s="103" t="s">
        <v>54</v>
      </c>
      <c r="D33" s="118" t="str">
        <f t="shared" ref="D33:J33" si="11">D3</f>
        <v>Govt</v>
      </c>
      <c r="E33" s="118" t="str">
        <f t="shared" si="11"/>
        <v>USAID</v>
      </c>
      <c r="F33" s="118" t="str">
        <f t="shared" si="11"/>
        <v>APOC</v>
      </c>
      <c r="G33" s="118" t="str">
        <f t="shared" si="11"/>
        <v>ITI</v>
      </c>
      <c r="H33" s="118" t="str">
        <f t="shared" si="11"/>
        <v>CNTD</v>
      </c>
      <c r="I33" s="118">
        <f t="shared" si="11"/>
        <v>0</v>
      </c>
      <c r="J33" s="118">
        <f t="shared" si="11"/>
        <v>0</v>
      </c>
      <c r="K33" s="103" t="s">
        <v>124</v>
      </c>
      <c r="L33" s="103" t="s">
        <v>54</v>
      </c>
      <c r="M33" s="118" t="str">
        <f t="shared" ref="M33:S33" si="12">M3</f>
        <v>Govt</v>
      </c>
      <c r="N33" s="118" t="str">
        <f t="shared" si="12"/>
        <v>USAID</v>
      </c>
      <c r="O33" s="118" t="str">
        <f t="shared" si="12"/>
        <v>APOC</v>
      </c>
      <c r="P33" s="118" t="str">
        <f t="shared" si="12"/>
        <v>ITI</v>
      </c>
      <c r="Q33" s="118" t="str">
        <f t="shared" si="12"/>
        <v>CNTD</v>
      </c>
      <c r="R33" s="118">
        <f t="shared" si="12"/>
        <v>0</v>
      </c>
      <c r="S33" s="118">
        <f t="shared" si="12"/>
        <v>0</v>
      </c>
      <c r="T33" s="103" t="s">
        <v>124</v>
      </c>
      <c r="U33" s="103" t="s">
        <v>54</v>
      </c>
      <c r="V33" s="118" t="str">
        <f t="shared" ref="V33:AB33" si="13">V3</f>
        <v>Govt</v>
      </c>
      <c r="W33" s="118" t="str">
        <f t="shared" si="13"/>
        <v>USAID</v>
      </c>
      <c r="X33" s="118" t="str">
        <f t="shared" si="13"/>
        <v>APOC</v>
      </c>
      <c r="Y33" s="118" t="str">
        <f t="shared" si="13"/>
        <v>ITI</v>
      </c>
      <c r="Z33" s="118" t="str">
        <f t="shared" si="13"/>
        <v>CNTD</v>
      </c>
      <c r="AA33" s="118">
        <f t="shared" si="13"/>
        <v>0</v>
      </c>
      <c r="AB33" s="118">
        <f t="shared" si="13"/>
        <v>0</v>
      </c>
      <c r="AC33" s="103" t="s">
        <v>124</v>
      </c>
      <c r="AD33" s="103" t="s">
        <v>54</v>
      </c>
      <c r="AE33" s="118" t="str">
        <f t="shared" ref="AE33:AK33" si="14">AE3</f>
        <v>Govt</v>
      </c>
      <c r="AF33" s="118" t="str">
        <f t="shared" si="14"/>
        <v>USAID</v>
      </c>
      <c r="AG33" s="118" t="str">
        <f t="shared" si="14"/>
        <v>APOC</v>
      </c>
      <c r="AH33" s="118" t="str">
        <f t="shared" si="14"/>
        <v>ITI</v>
      </c>
      <c r="AI33" s="118" t="str">
        <f t="shared" si="14"/>
        <v>CNTD</v>
      </c>
      <c r="AJ33" s="118">
        <f t="shared" si="14"/>
        <v>0</v>
      </c>
      <c r="AK33" s="118">
        <f t="shared" si="14"/>
        <v>0</v>
      </c>
      <c r="AL33" s="103" t="s">
        <v>124</v>
      </c>
      <c r="AM33" s="103" t="s">
        <v>54</v>
      </c>
      <c r="AN33" s="118" t="str">
        <f t="shared" ref="AN33:AT33" si="15">AN3</f>
        <v>Govt</v>
      </c>
      <c r="AO33" s="118" t="str">
        <f t="shared" si="15"/>
        <v>USAID</v>
      </c>
      <c r="AP33" s="118" t="str">
        <f t="shared" si="15"/>
        <v>APOC</v>
      </c>
      <c r="AQ33" s="118" t="str">
        <f t="shared" si="15"/>
        <v>ITI</v>
      </c>
      <c r="AR33" s="118" t="str">
        <f t="shared" si="15"/>
        <v>CNTD</v>
      </c>
      <c r="AS33" s="118">
        <f t="shared" si="15"/>
        <v>0</v>
      </c>
      <c r="AT33" s="118">
        <f t="shared" si="15"/>
        <v>0</v>
      </c>
      <c r="AU33" s="103" t="s">
        <v>124</v>
      </c>
    </row>
    <row r="34" spans="1:47">
      <c r="A34" s="119" t="s">
        <v>155</v>
      </c>
      <c r="B34" s="119"/>
      <c r="C34" s="107" t="e">
        <f>SUM(Médicaments!D$4:D988)</f>
        <v>#REF!</v>
      </c>
      <c r="D34" s="109"/>
      <c r="E34" s="109"/>
      <c r="F34" s="109"/>
      <c r="G34" s="109"/>
      <c r="H34" s="109"/>
      <c r="I34" s="109"/>
      <c r="J34" s="109"/>
      <c r="K34" s="107" t="e">
        <f t="shared" ref="K34:K41" si="16">C34-(SUM(D34:J34))</f>
        <v>#REF!</v>
      </c>
      <c r="L34" s="107" t="e">
        <f>SUM(Médicaments!E$4:E988)</f>
        <v>#REF!</v>
      </c>
      <c r="M34" s="109"/>
      <c r="N34" s="109"/>
      <c r="O34" s="109"/>
      <c r="P34" s="109"/>
      <c r="Q34" s="109"/>
      <c r="R34" s="109"/>
      <c r="S34" s="109"/>
      <c r="T34" s="107" t="e">
        <f t="shared" ref="T34:T41" si="17">L34-(SUM(M34:S34))</f>
        <v>#REF!</v>
      </c>
      <c r="U34" s="107" t="e">
        <f>SUM(Médicaments!F$4:F988)</f>
        <v>#REF!</v>
      </c>
      <c r="V34" s="109"/>
      <c r="W34" s="109"/>
      <c r="X34" s="109"/>
      <c r="Y34" s="109"/>
      <c r="Z34" s="109"/>
      <c r="AA34" s="109"/>
      <c r="AB34" s="109"/>
      <c r="AC34" s="107" t="e">
        <f t="shared" ref="AC34:AC41" si="18">U34-(SUM(V34:AB34))</f>
        <v>#REF!</v>
      </c>
      <c r="AD34" s="107" t="e">
        <f>SUM(Médicaments!G$4:G988)</f>
        <v>#REF!</v>
      </c>
      <c r="AE34" s="109"/>
      <c r="AF34" s="109"/>
      <c r="AG34" s="109"/>
      <c r="AH34" s="109"/>
      <c r="AI34" s="109"/>
      <c r="AJ34" s="109"/>
      <c r="AK34" s="109"/>
      <c r="AL34" s="107" t="e">
        <f t="shared" ref="AL34:AL41" si="19">AD34-(SUM(AE34:AK34))</f>
        <v>#REF!</v>
      </c>
      <c r="AM34" s="107" t="e">
        <f>SUM(Médicaments!H$4:H988)</f>
        <v>#REF!</v>
      </c>
      <c r="AN34" s="109"/>
      <c r="AO34" s="109"/>
      <c r="AP34" s="109"/>
      <c r="AQ34" s="109"/>
      <c r="AR34" s="109"/>
      <c r="AS34" s="109"/>
      <c r="AT34" s="109"/>
      <c r="AU34" s="107" t="e">
        <f t="shared" ref="AU34:AU41" si="20">AM34-(SUM(AN34:AT34))</f>
        <v>#REF!</v>
      </c>
    </row>
    <row r="35" spans="1:47">
      <c r="A35" s="119" t="s">
        <v>156</v>
      </c>
      <c r="B35" s="119"/>
      <c r="C35" s="107">
        <f>SUM(Médicaments!I$4:I988)</f>
        <v>0</v>
      </c>
      <c r="D35" s="109"/>
      <c r="E35" s="109"/>
      <c r="F35" s="109"/>
      <c r="G35" s="109"/>
      <c r="H35" s="109"/>
      <c r="I35" s="109"/>
      <c r="J35" s="109"/>
      <c r="K35" s="107">
        <f t="shared" si="16"/>
        <v>0</v>
      </c>
      <c r="L35" s="107">
        <f>SUM(Médicaments!J$4:J988)</f>
        <v>0</v>
      </c>
      <c r="M35" s="109"/>
      <c r="N35" s="109"/>
      <c r="O35" s="109"/>
      <c r="P35" s="109"/>
      <c r="Q35" s="109"/>
      <c r="R35" s="109"/>
      <c r="S35" s="109"/>
      <c r="T35" s="107">
        <f t="shared" si="17"/>
        <v>0</v>
      </c>
      <c r="U35" s="107">
        <f>SUM(Médicaments!K$4:K988)</f>
        <v>0</v>
      </c>
      <c r="V35" s="109"/>
      <c r="W35" s="109"/>
      <c r="X35" s="109"/>
      <c r="Y35" s="109"/>
      <c r="Z35" s="109"/>
      <c r="AA35" s="109"/>
      <c r="AB35" s="109"/>
      <c r="AC35" s="107">
        <f t="shared" si="18"/>
        <v>0</v>
      </c>
      <c r="AD35" s="107">
        <f>SUM(Médicaments!L$4:L988)</f>
        <v>0</v>
      </c>
      <c r="AE35" s="109"/>
      <c r="AF35" s="109"/>
      <c r="AG35" s="109"/>
      <c r="AH35" s="109"/>
      <c r="AI35" s="109"/>
      <c r="AJ35" s="109"/>
      <c r="AK35" s="109"/>
      <c r="AL35" s="107">
        <f t="shared" si="19"/>
        <v>0</v>
      </c>
      <c r="AM35" s="107">
        <f>SUM(Médicaments!M$4:M988)</f>
        <v>0</v>
      </c>
      <c r="AN35" s="109"/>
      <c r="AO35" s="109"/>
      <c r="AP35" s="109"/>
      <c r="AQ35" s="109"/>
      <c r="AR35" s="109"/>
      <c r="AS35" s="109"/>
      <c r="AT35" s="109"/>
      <c r="AU35" s="107">
        <f t="shared" si="20"/>
        <v>0</v>
      </c>
    </row>
    <row r="36" spans="1:47">
      <c r="A36" s="119" t="s">
        <v>157</v>
      </c>
      <c r="B36" s="119"/>
      <c r="C36" s="107" t="e">
        <f>SUM(Médicaments!X$4:X988)</f>
        <v>#REF!</v>
      </c>
      <c r="D36" s="109"/>
      <c r="E36" s="109"/>
      <c r="F36" s="109"/>
      <c r="G36" s="109"/>
      <c r="H36" s="109"/>
      <c r="I36" s="109"/>
      <c r="J36" s="109"/>
      <c r="K36" s="107" t="e">
        <f t="shared" si="16"/>
        <v>#REF!</v>
      </c>
      <c r="L36" s="107" t="e">
        <f>SUM(Médicaments!Y$4:Y988)</f>
        <v>#REF!</v>
      </c>
      <c r="M36" s="109"/>
      <c r="N36" s="109"/>
      <c r="O36" s="109"/>
      <c r="P36" s="109"/>
      <c r="Q36" s="109"/>
      <c r="R36" s="109"/>
      <c r="S36" s="109"/>
      <c r="T36" s="107" t="e">
        <f t="shared" si="17"/>
        <v>#REF!</v>
      </c>
      <c r="U36" s="107" t="e">
        <f>SUM(Médicaments!Z$4:Z988)</f>
        <v>#REF!</v>
      </c>
      <c r="V36" s="109"/>
      <c r="W36" s="109"/>
      <c r="X36" s="109"/>
      <c r="Y36" s="109"/>
      <c r="Z36" s="109"/>
      <c r="AA36" s="109"/>
      <c r="AB36" s="109"/>
      <c r="AC36" s="107" t="e">
        <f t="shared" si="18"/>
        <v>#REF!</v>
      </c>
      <c r="AD36" s="107" t="e">
        <f>SUM(Médicaments!AA$4:AA988)</f>
        <v>#REF!</v>
      </c>
      <c r="AE36" s="109"/>
      <c r="AF36" s="109"/>
      <c r="AG36" s="109"/>
      <c r="AH36" s="109"/>
      <c r="AI36" s="109"/>
      <c r="AJ36" s="109"/>
      <c r="AK36" s="109"/>
      <c r="AL36" s="107" t="e">
        <f t="shared" si="19"/>
        <v>#REF!</v>
      </c>
      <c r="AM36" s="107" t="e">
        <f>SUM(Médicaments!AB$4:AB988)</f>
        <v>#REF!</v>
      </c>
      <c r="AN36" s="109"/>
      <c r="AO36" s="109"/>
      <c r="AP36" s="109"/>
      <c r="AQ36" s="109"/>
      <c r="AR36" s="109"/>
      <c r="AS36" s="109"/>
      <c r="AT36" s="109"/>
      <c r="AU36" s="107" t="e">
        <f t="shared" si="20"/>
        <v>#REF!</v>
      </c>
    </row>
    <row r="37" spans="1:47">
      <c r="A37" s="119" t="s">
        <v>158</v>
      </c>
      <c r="B37" s="119"/>
      <c r="C37" s="107" t="e">
        <f>SUM(Médicaments!N$4:N988)</f>
        <v>#REF!</v>
      </c>
      <c r="D37" s="109"/>
      <c r="E37" s="120"/>
      <c r="F37" s="109"/>
      <c r="G37" s="109"/>
      <c r="H37" s="109"/>
      <c r="I37" s="109"/>
      <c r="J37" s="109"/>
      <c r="K37" s="107" t="e">
        <f t="shared" si="16"/>
        <v>#REF!</v>
      </c>
      <c r="L37" s="107" t="e">
        <f>SUM(Médicaments!O$4:O988)</f>
        <v>#REF!</v>
      </c>
      <c r="M37" s="109"/>
      <c r="N37" s="120"/>
      <c r="O37" s="109"/>
      <c r="P37" s="109"/>
      <c r="Q37" s="109"/>
      <c r="R37" s="109"/>
      <c r="S37" s="109"/>
      <c r="T37" s="107" t="e">
        <f t="shared" si="17"/>
        <v>#REF!</v>
      </c>
      <c r="U37" s="107" t="e">
        <f>SUM(Médicaments!P$4:P988)</f>
        <v>#REF!</v>
      </c>
      <c r="V37" s="109"/>
      <c r="W37" s="120"/>
      <c r="X37" s="109"/>
      <c r="Y37" s="109"/>
      <c r="Z37" s="109"/>
      <c r="AA37" s="109"/>
      <c r="AB37" s="109"/>
      <c r="AC37" s="107" t="e">
        <f t="shared" si="18"/>
        <v>#REF!</v>
      </c>
      <c r="AD37" s="107" t="e">
        <f>SUM(Médicaments!Q$4:Q988)</f>
        <v>#REF!</v>
      </c>
      <c r="AE37" s="109"/>
      <c r="AF37" s="120"/>
      <c r="AG37" s="109"/>
      <c r="AH37" s="109"/>
      <c r="AI37" s="109"/>
      <c r="AJ37" s="109"/>
      <c r="AK37" s="109"/>
      <c r="AL37" s="107" t="e">
        <f t="shared" si="19"/>
        <v>#REF!</v>
      </c>
      <c r="AM37" s="107" t="e">
        <f>SUM(Médicaments!R$4:R988)</f>
        <v>#REF!</v>
      </c>
      <c r="AN37" s="109"/>
      <c r="AO37" s="120"/>
      <c r="AP37" s="109"/>
      <c r="AQ37" s="109"/>
      <c r="AR37" s="109"/>
      <c r="AS37" s="109"/>
      <c r="AT37" s="109"/>
      <c r="AU37" s="107" t="e">
        <f t="shared" si="20"/>
        <v>#REF!</v>
      </c>
    </row>
    <row r="38" spans="1:47">
      <c r="A38" s="119" t="s">
        <v>159</v>
      </c>
      <c r="B38" s="119"/>
      <c r="C38" s="107" t="e">
        <f>SUM(Médicaments!S$4:S988)</f>
        <v>#REF!</v>
      </c>
      <c r="D38" s="109"/>
      <c r="E38" s="120"/>
      <c r="F38" s="109"/>
      <c r="G38" s="109"/>
      <c r="H38" s="109"/>
      <c r="I38" s="109"/>
      <c r="J38" s="109"/>
      <c r="K38" s="107" t="e">
        <f t="shared" si="16"/>
        <v>#REF!</v>
      </c>
      <c r="L38" s="107" t="e">
        <f>SUM(Médicaments!T$4:T988)</f>
        <v>#REF!</v>
      </c>
      <c r="M38" s="109"/>
      <c r="N38" s="120"/>
      <c r="O38" s="109"/>
      <c r="P38" s="109"/>
      <c r="Q38" s="109"/>
      <c r="R38" s="109"/>
      <c r="S38" s="109"/>
      <c r="T38" s="107" t="e">
        <f t="shared" si="17"/>
        <v>#REF!</v>
      </c>
      <c r="U38" s="107" t="e">
        <f>SUM(Médicaments!U$4:U988)</f>
        <v>#REF!</v>
      </c>
      <c r="V38" s="109"/>
      <c r="W38" s="120"/>
      <c r="X38" s="109"/>
      <c r="Y38" s="109"/>
      <c r="Z38" s="109"/>
      <c r="AA38" s="109"/>
      <c r="AB38" s="109"/>
      <c r="AC38" s="107" t="e">
        <f t="shared" si="18"/>
        <v>#REF!</v>
      </c>
      <c r="AD38" s="107" t="e">
        <f>SUM(Médicaments!V$4:V988)</f>
        <v>#REF!</v>
      </c>
      <c r="AE38" s="109"/>
      <c r="AF38" s="120"/>
      <c r="AG38" s="109"/>
      <c r="AH38" s="109"/>
      <c r="AI38" s="109"/>
      <c r="AJ38" s="109"/>
      <c r="AK38" s="109"/>
      <c r="AL38" s="107" t="e">
        <f t="shared" si="19"/>
        <v>#REF!</v>
      </c>
      <c r="AM38" s="107" t="e">
        <f>SUM(Médicaments!W$4:W988)</f>
        <v>#REF!</v>
      </c>
      <c r="AN38" s="109"/>
      <c r="AO38" s="120"/>
      <c r="AP38" s="109"/>
      <c r="AQ38" s="109"/>
      <c r="AR38" s="109"/>
      <c r="AS38" s="109"/>
      <c r="AT38" s="109"/>
      <c r="AU38" s="107" t="e">
        <f t="shared" si="20"/>
        <v>#REF!</v>
      </c>
    </row>
    <row r="39" spans="1:47">
      <c r="A39" s="119" t="s">
        <v>160</v>
      </c>
      <c r="B39" s="119"/>
      <c r="C39" s="107" t="e">
        <f>SUM(Médicaments!AC$4:AC988)</f>
        <v>#REF!</v>
      </c>
      <c r="D39" s="109"/>
      <c r="E39" s="109"/>
      <c r="F39" s="109"/>
      <c r="G39" s="109"/>
      <c r="H39" s="109"/>
      <c r="I39" s="109"/>
      <c r="J39" s="109"/>
      <c r="K39" s="107" t="e">
        <f t="shared" si="16"/>
        <v>#REF!</v>
      </c>
      <c r="L39" s="107" t="e">
        <f>SUM(Médicaments!AD$4:AD988)</f>
        <v>#REF!</v>
      </c>
      <c r="M39" s="109"/>
      <c r="N39" s="109"/>
      <c r="O39" s="109"/>
      <c r="P39" s="109"/>
      <c r="Q39" s="109"/>
      <c r="R39" s="109"/>
      <c r="S39" s="109"/>
      <c r="T39" s="107" t="e">
        <f t="shared" si="17"/>
        <v>#REF!</v>
      </c>
      <c r="U39" s="107" t="e">
        <f>SUM(Médicaments!AE$4:AE988)</f>
        <v>#REF!</v>
      </c>
      <c r="V39" s="109"/>
      <c r="W39" s="109"/>
      <c r="X39" s="109"/>
      <c r="Y39" s="109"/>
      <c r="Z39" s="109"/>
      <c r="AA39" s="109"/>
      <c r="AB39" s="109"/>
      <c r="AC39" s="107" t="e">
        <f t="shared" si="18"/>
        <v>#REF!</v>
      </c>
      <c r="AD39" s="107" t="e">
        <f>SUM(Médicaments!AF$4:AF988)</f>
        <v>#REF!</v>
      </c>
      <c r="AE39" s="109"/>
      <c r="AF39" s="109"/>
      <c r="AG39" s="109"/>
      <c r="AH39" s="109"/>
      <c r="AI39" s="109"/>
      <c r="AJ39" s="109"/>
      <c r="AK39" s="109"/>
      <c r="AL39" s="107" t="e">
        <f t="shared" si="19"/>
        <v>#REF!</v>
      </c>
      <c r="AM39" s="107" t="e">
        <f>SUM(Médicaments!AG$4:AG988)</f>
        <v>#REF!</v>
      </c>
      <c r="AN39" s="109"/>
      <c r="AO39" s="109"/>
      <c r="AP39" s="109"/>
      <c r="AQ39" s="109"/>
      <c r="AR39" s="109"/>
      <c r="AS39" s="109"/>
      <c r="AT39" s="109"/>
      <c r="AU39" s="107" t="e">
        <f t="shared" si="20"/>
        <v>#REF!</v>
      </c>
    </row>
    <row r="40" spans="1:47">
      <c r="A40" s="119" t="s">
        <v>161</v>
      </c>
      <c r="B40" s="119"/>
      <c r="C40" s="107" t="e">
        <f>SUM(Médicaments!AH$4:AH988)</f>
        <v>#REF!</v>
      </c>
      <c r="D40" s="109"/>
      <c r="E40" s="109"/>
      <c r="F40" s="109"/>
      <c r="G40" s="109"/>
      <c r="H40" s="109"/>
      <c r="I40" s="109"/>
      <c r="J40" s="109"/>
      <c r="K40" s="107" t="e">
        <f t="shared" si="16"/>
        <v>#REF!</v>
      </c>
      <c r="L40" s="107" t="e">
        <f>SUM(Médicaments!AI$4:AI988)</f>
        <v>#REF!</v>
      </c>
      <c r="M40" s="109"/>
      <c r="N40" s="109"/>
      <c r="O40" s="109"/>
      <c r="P40" s="109"/>
      <c r="Q40" s="109"/>
      <c r="R40" s="109"/>
      <c r="S40" s="109"/>
      <c r="T40" s="107" t="e">
        <f t="shared" si="17"/>
        <v>#REF!</v>
      </c>
      <c r="U40" s="107" t="e">
        <f>SUM(Médicaments!AJ$4:AJ988)</f>
        <v>#REF!</v>
      </c>
      <c r="V40" s="109"/>
      <c r="W40" s="109"/>
      <c r="X40" s="109"/>
      <c r="Y40" s="109"/>
      <c r="Z40" s="109"/>
      <c r="AA40" s="109"/>
      <c r="AB40" s="109"/>
      <c r="AC40" s="107" t="e">
        <f t="shared" si="18"/>
        <v>#REF!</v>
      </c>
      <c r="AD40" s="107" t="e">
        <f>SUM(Médicaments!AK$4:AK988)</f>
        <v>#REF!</v>
      </c>
      <c r="AE40" s="109"/>
      <c r="AF40" s="109"/>
      <c r="AG40" s="109"/>
      <c r="AH40" s="109"/>
      <c r="AI40" s="109"/>
      <c r="AJ40" s="109"/>
      <c r="AK40" s="109"/>
      <c r="AL40" s="107" t="e">
        <f t="shared" si="19"/>
        <v>#REF!</v>
      </c>
      <c r="AM40" s="107" t="e">
        <f>SUM(Médicaments!AL$4:AL988)</f>
        <v>#REF!</v>
      </c>
      <c r="AN40" s="109"/>
      <c r="AO40" s="109"/>
      <c r="AP40" s="109"/>
      <c r="AQ40" s="109"/>
      <c r="AR40" s="109"/>
      <c r="AS40" s="109"/>
      <c r="AT40" s="109"/>
      <c r="AU40" s="107" t="e">
        <f t="shared" si="20"/>
        <v>#REF!</v>
      </c>
    </row>
    <row r="41" spans="1:47">
      <c r="A41" s="119" t="s">
        <v>162</v>
      </c>
      <c r="B41" s="119"/>
      <c r="C41" s="107" t="e">
        <f>SUM(Médicaments!AM$4:AM988)</f>
        <v>#REF!</v>
      </c>
      <c r="D41" s="109"/>
      <c r="E41" s="109"/>
      <c r="F41" s="109"/>
      <c r="G41" s="109"/>
      <c r="H41" s="109"/>
      <c r="I41" s="109"/>
      <c r="J41" s="109"/>
      <c r="K41" s="107" t="e">
        <f t="shared" si="16"/>
        <v>#REF!</v>
      </c>
      <c r="L41" s="107" t="e">
        <f>SUM(Médicaments!AN$4:AN988)</f>
        <v>#REF!</v>
      </c>
      <c r="M41" s="109"/>
      <c r="N41" s="109"/>
      <c r="O41" s="109"/>
      <c r="P41" s="109"/>
      <c r="Q41" s="109"/>
      <c r="R41" s="109"/>
      <c r="S41" s="109"/>
      <c r="T41" s="107" t="e">
        <f t="shared" si="17"/>
        <v>#REF!</v>
      </c>
      <c r="U41" s="107" t="e">
        <f>SUM(Médicaments!AO$4:AO988)</f>
        <v>#REF!</v>
      </c>
      <c r="V41" s="109"/>
      <c r="W41" s="109"/>
      <c r="X41" s="109"/>
      <c r="Y41" s="109"/>
      <c r="Z41" s="109"/>
      <c r="AA41" s="109"/>
      <c r="AB41" s="109"/>
      <c r="AC41" s="107" t="e">
        <f t="shared" si="18"/>
        <v>#REF!</v>
      </c>
      <c r="AD41" s="107" t="e">
        <f>SUM(Médicaments!AP$4:AP988)</f>
        <v>#REF!</v>
      </c>
      <c r="AE41" s="109"/>
      <c r="AF41" s="109"/>
      <c r="AG41" s="109"/>
      <c r="AH41" s="109"/>
      <c r="AI41" s="109"/>
      <c r="AJ41" s="109"/>
      <c r="AK41" s="109"/>
      <c r="AL41" s="107" t="e">
        <f t="shared" si="19"/>
        <v>#REF!</v>
      </c>
      <c r="AM41" s="107" t="e">
        <f>SUM(Médicaments!AQ$4:AQ988)</f>
        <v>#REF!</v>
      </c>
      <c r="AN41" s="109"/>
      <c r="AO41" s="109"/>
      <c r="AP41" s="109"/>
      <c r="AQ41" s="109"/>
      <c r="AR41" s="109"/>
      <c r="AS41" s="109"/>
      <c r="AT41" s="109"/>
      <c r="AU41" s="107" t="e">
        <f t="shared" si="20"/>
        <v>#REF!</v>
      </c>
    </row>
    <row r="42" spans="1:47">
      <c r="A42" s="121"/>
      <c r="B42" s="121"/>
      <c r="C42" s="122" t="e">
        <f>(C34*'Coût des médicaments'!$D$2+Financement!C35*'Coût des médicaments'!$D$3+Financement!C36*'Coût des médicaments'!$D$5+Financement!C37*'Coût des médicaments'!$D$4+Financement!C38*'Coût des médicaments'!$D$6+Financement!C39*'Coût des médicaments'!$D$9+Financement!C40*'Coût des médicaments'!$D$8+Financement!C41*'Coût des médicaments'!$D$7)*'Résumé sommaire (USD)'!B33</f>
        <v>#REF!</v>
      </c>
      <c r="D42" s="122">
        <f>D34*'Coût des médicaments'!$D$2+Financement!D35*'Coût des médicaments'!$D$3+Financement!D36*'Coût des médicaments'!$D$5+Financement!D37*'Coût des médicaments'!$D$4+Financement!D38*'Coût des médicaments'!$D$6+Financement!D39*'Coût des médicaments'!$D$9+Financement!D40*'Coût des médicaments'!$D$8+Financement!D41*'Coût des médicaments'!$D$7</f>
        <v>0</v>
      </c>
      <c r="E42" s="122">
        <f>E34*'Coût des médicaments'!$D$2+Financement!E35*'Coût des médicaments'!$D$3+Financement!E36*'Coût des médicaments'!$D$5+Financement!E37*'Coût des médicaments'!$D$4+Financement!E38*'Coût des médicaments'!$D$6+Financement!E39*'Coût des médicaments'!$D$9+Financement!E40*'Coût des médicaments'!$D$8+Financement!E41*'Coût des médicaments'!$D$7</f>
        <v>0</v>
      </c>
      <c r="F42" s="122">
        <f>F34*'Coût des médicaments'!$D$2+Financement!F35*'Coût des médicaments'!$D$3+Financement!F36*'Coût des médicaments'!$D$5+Financement!F37*'Coût des médicaments'!$D$4+Financement!F38*'Coût des médicaments'!$D$6+Financement!F39*'Coût des médicaments'!$D$9+Financement!F40*'Coût des médicaments'!$D$8+Financement!F41*'Coût des médicaments'!$D$7</f>
        <v>0</v>
      </c>
      <c r="G42" s="122">
        <f>G34*'Coût des médicaments'!$D$2+Financement!G35*'Coût des médicaments'!$D$3+Financement!G36*'Coût des médicaments'!$D$5+Financement!G37*'Coût des médicaments'!$D$4+Financement!G38*'Coût des médicaments'!$D$6+Financement!G39*'Coût des médicaments'!$D$9+Financement!G40*'Coût des médicaments'!$D$8+Financement!G41*'Coût des médicaments'!$D$7</f>
        <v>0</v>
      </c>
      <c r="H42" s="122">
        <f>H34*'Coût des médicaments'!$D$2+Financement!H35*'Coût des médicaments'!$D$3+Financement!H36*'Coût des médicaments'!$D$5+Financement!H37*'Coût des médicaments'!$D$4+Financement!H38*'Coût des médicaments'!$D$6+Financement!H39*'Coût des médicaments'!$D$9+Financement!H40*'Coût des médicaments'!$D$8+Financement!H41*'Coût des médicaments'!$D$7</f>
        <v>0</v>
      </c>
      <c r="I42" s="122">
        <f>I34*'Coût des médicaments'!$D$2+Financement!I35*'Coût des médicaments'!$D$3+Financement!I36*'Coût des médicaments'!$D$5+Financement!I37*'Coût des médicaments'!$D$4+Financement!I38*'Coût des médicaments'!$D$6+Financement!I39*'Coût des médicaments'!$D$9+Financement!I40*'Coût des médicaments'!$D$8+Financement!I41*'Coût des médicaments'!$D$7</f>
        <v>0</v>
      </c>
      <c r="J42" s="122">
        <f>J34*'Coût des médicaments'!$D$2+Financement!J35*'Coût des médicaments'!$D$3+Financement!J36*'Coût des médicaments'!$D$5+Financement!J37*'Coût des médicaments'!$D$4+Financement!J38*'Coût des médicaments'!$D$6+Financement!J39*'Coût des médicaments'!$D$9+Financement!J40*'Coût des médicaments'!$D$8+Financement!J41*'Coût des médicaments'!$D$7</f>
        <v>0</v>
      </c>
      <c r="K42" s="122" t="e">
        <f>K34*'Coût des médicaments'!$D$2+Financement!K35*'Coût des médicaments'!$D$3+Financement!K36*'Coût des médicaments'!$D$5+Financement!K37*'Coût des médicaments'!$D$4+Financement!K38*'Coût des médicaments'!$D$6+Financement!K39*'Coût des médicaments'!$D$9+Financement!K40*'Coût des médicaments'!$D$8+Financement!K41*'Coût des médicaments'!$D$7</f>
        <v>#REF!</v>
      </c>
      <c r="L42" s="122" t="e">
        <f>(L34*'Coût des médicaments'!$D$2+Financement!L35*'Coût des médicaments'!$D$3+Financement!L36*'Coût des médicaments'!$D$5+Financement!L37*'Coût des médicaments'!$D$4+Financement!L38*'Coût des médicaments'!$D$6+Financement!L39*'Coût des médicaments'!$D$9+Financement!L40*'Coût des médicaments'!$D$8+Financement!L41*'Coût des médicaments'!$D$7)*'Résumé sommaire (USD)'!B33</f>
        <v>#REF!</v>
      </c>
      <c r="M42" s="122">
        <f>M34*'Coût des médicaments'!$D$2+Financement!M35*'Coût des médicaments'!$D$3+Financement!M36*'Coût des médicaments'!$D$5+Financement!M37*'Coût des médicaments'!$D$4+Financement!M38*'Coût des médicaments'!$D$6+Financement!M39*'Coût des médicaments'!$D$9+Financement!M40*'Coût des médicaments'!$D$8+Financement!M41*'Coût des médicaments'!$D$7</f>
        <v>0</v>
      </c>
      <c r="N42" s="122">
        <f>N34*'Coût des médicaments'!$D$2+Financement!N35*'Coût des médicaments'!$D$3+Financement!N36*'Coût des médicaments'!$D$5+Financement!N37*'Coût des médicaments'!$D$4+Financement!N38*'Coût des médicaments'!$D$6+Financement!N39*'Coût des médicaments'!$D$9+Financement!N40*'Coût des médicaments'!$D$8+Financement!N41*'Coût des médicaments'!$D$7</f>
        <v>0</v>
      </c>
      <c r="O42" s="122">
        <f>O34*'Coût des médicaments'!$D$2+Financement!O35*'Coût des médicaments'!$D$3+Financement!O36*'Coût des médicaments'!$D$5+Financement!O37*'Coût des médicaments'!$D$4+Financement!O38*'Coût des médicaments'!$D$6+Financement!O39*'Coût des médicaments'!$D$9+Financement!O40*'Coût des médicaments'!$D$8+Financement!O41*'Coût des médicaments'!$D$7</f>
        <v>0</v>
      </c>
      <c r="P42" s="122">
        <f>P34*'Coût des médicaments'!$D$2+Financement!P35*'Coût des médicaments'!$D$3+Financement!P36*'Coût des médicaments'!$D$5+Financement!P37*'Coût des médicaments'!$D$4+Financement!P38*'Coût des médicaments'!$D$6+Financement!P39*'Coût des médicaments'!$D$9+Financement!P40*'Coût des médicaments'!$D$8+Financement!P41*'Coût des médicaments'!$D$7</f>
        <v>0</v>
      </c>
      <c r="Q42" s="122">
        <f>Q34*'Coût des médicaments'!$D$2+Financement!Q35*'Coût des médicaments'!$D$3+Financement!Q36*'Coût des médicaments'!$D$5+Financement!Q37*'Coût des médicaments'!$D$4+Financement!Q38*'Coût des médicaments'!$D$6+Financement!Q39*'Coût des médicaments'!$D$9+Financement!Q40*'Coût des médicaments'!$D$8+Financement!Q41*'Coût des médicaments'!$D$7</f>
        <v>0</v>
      </c>
      <c r="R42" s="122">
        <f>R34*'Coût des médicaments'!$D$2+Financement!R35*'Coût des médicaments'!$D$3+Financement!R36*'Coût des médicaments'!$D$5+Financement!R37*'Coût des médicaments'!$D$4+Financement!R38*'Coût des médicaments'!$D$6+Financement!R39*'Coût des médicaments'!$D$9+Financement!R40*'Coût des médicaments'!$D$8+Financement!R41*'Coût des médicaments'!$D$7</f>
        <v>0</v>
      </c>
      <c r="S42" s="122">
        <f>S34*'Coût des médicaments'!$D$2+Financement!S35*'Coût des médicaments'!$D$3+Financement!S36*'Coût des médicaments'!$D$5+Financement!S37*'Coût des médicaments'!$D$4+Financement!S38*'Coût des médicaments'!$D$6+Financement!S39*'Coût des médicaments'!$D$9+Financement!S40*'Coût des médicaments'!$D$8+Financement!S41*'Coût des médicaments'!$D$7</f>
        <v>0</v>
      </c>
      <c r="T42" s="122" t="e">
        <f>T34*'Coût des médicaments'!$D$2+Financement!T35*'Coût des médicaments'!$D$3+Financement!T36*'Coût des médicaments'!$D$5+Financement!T37*'Coût des médicaments'!$D$4+Financement!T38*'Coût des médicaments'!$D$6+Financement!T39*'Coût des médicaments'!$D$9+Financement!T40*'Coût des médicaments'!$D$8+Financement!T41*'Coût des médicaments'!$D$7</f>
        <v>#REF!</v>
      </c>
      <c r="U42" s="122" t="e">
        <f>(U34*'Coût des médicaments'!$D$2+Financement!U35*'Coût des médicaments'!$D$3+Financement!U36*'Coût des médicaments'!$D$5+Financement!U37*'Coût des médicaments'!$D$4+Financement!U38*'Coût des médicaments'!$D$6+Financement!U39*'Coût des médicaments'!$D$9+Financement!U40*'Coût des médicaments'!$D$8+Financement!U41*'Coût des médicaments'!$D$7)*'Résumé sommaire (USD)'!B33</f>
        <v>#REF!</v>
      </c>
      <c r="V42" s="122">
        <f>V34*'Coût des médicaments'!$D$2+Financement!V35*'Coût des médicaments'!$D$3+Financement!V36*'Coût des médicaments'!$D$5+Financement!V37*'Coût des médicaments'!$D$4+Financement!V38*'Coût des médicaments'!$D$6+Financement!V39*'Coût des médicaments'!$D$9+Financement!V40*'Coût des médicaments'!$D$8+Financement!V41*'Coût des médicaments'!$D$7</f>
        <v>0</v>
      </c>
      <c r="W42" s="122">
        <f>W34*'Coût des médicaments'!$D$2+Financement!W35*'Coût des médicaments'!$D$3+Financement!W36*'Coût des médicaments'!$D$5+Financement!W37*'Coût des médicaments'!$D$4+Financement!W38*'Coût des médicaments'!$D$6+Financement!W39*'Coût des médicaments'!$D$9+Financement!W40*'Coût des médicaments'!$D$8+Financement!W41*'Coût des médicaments'!$D$7</f>
        <v>0</v>
      </c>
      <c r="X42" s="122">
        <f>X34*'Coût des médicaments'!$D$2+Financement!X35*'Coût des médicaments'!$D$3+Financement!X36*'Coût des médicaments'!$D$5+Financement!X37*'Coût des médicaments'!$D$4+Financement!X38*'Coût des médicaments'!$D$6+Financement!X39*'Coût des médicaments'!$D$9+Financement!X40*'Coût des médicaments'!$D$8+Financement!X41*'Coût des médicaments'!$D$7</f>
        <v>0</v>
      </c>
      <c r="Y42" s="122">
        <f>Y34*'Coût des médicaments'!$D$2+Financement!Y35*'Coût des médicaments'!$D$3+Financement!Y36*'Coût des médicaments'!$D$5+Financement!Y37*'Coût des médicaments'!$D$4+Financement!Y38*'Coût des médicaments'!$D$6+Financement!Y39*'Coût des médicaments'!$D$9+Financement!Y40*'Coût des médicaments'!$D$8+Financement!Y41*'Coût des médicaments'!$D$7</f>
        <v>0</v>
      </c>
      <c r="Z42" s="122">
        <f>Z34*'Coût des médicaments'!$D$2+Financement!Z35*'Coût des médicaments'!$D$3+Financement!Z36*'Coût des médicaments'!$D$5+Financement!Z37*'Coût des médicaments'!$D$4+Financement!Z38*'Coût des médicaments'!$D$6+Financement!Z39*'Coût des médicaments'!$D$9+Financement!Z40*'Coût des médicaments'!$D$8+Financement!Z41*'Coût des médicaments'!$D$7</f>
        <v>0</v>
      </c>
      <c r="AA42" s="122">
        <f>AA34*'Coût des médicaments'!$D$2+Financement!AA35*'Coût des médicaments'!$D$3+Financement!AA36*'Coût des médicaments'!$D$5+Financement!AA37*'Coût des médicaments'!$D$4+Financement!AA38*'Coût des médicaments'!$D$6+Financement!AA39*'Coût des médicaments'!$D$9+Financement!AA40*'Coût des médicaments'!$D$8+Financement!AA41*'Coût des médicaments'!$D$7</f>
        <v>0</v>
      </c>
      <c r="AB42" s="122">
        <f>AB34*'Coût des médicaments'!$D$2+Financement!AB35*'Coût des médicaments'!$D$3+Financement!AB36*'Coût des médicaments'!$D$5+Financement!AB37*'Coût des médicaments'!$D$4+Financement!AB38*'Coût des médicaments'!$D$6+Financement!AB39*'Coût des médicaments'!$D$9+Financement!AB40*'Coût des médicaments'!$D$8+Financement!AB41*'Coût des médicaments'!$D$7</f>
        <v>0</v>
      </c>
      <c r="AC42" s="122" t="e">
        <f>AC34*'Coût des médicaments'!$D$2+Financement!AC35*'Coût des médicaments'!$D$3+Financement!AC36*'Coût des médicaments'!$D$5+Financement!AC37*'Coût des médicaments'!$D$4+Financement!AC38*'Coût des médicaments'!$D$6+Financement!AC39*'Coût des médicaments'!$D$9+Financement!AC40*'Coût des médicaments'!$D$8+Financement!AC41*'Coût des médicaments'!$D$7</f>
        <v>#REF!</v>
      </c>
      <c r="AD42" s="122" t="e">
        <f>(AD34*'Coût des médicaments'!$D$2+Financement!AD35*'Coût des médicaments'!$D$3+Financement!AD36*'Coût des médicaments'!$D$5+Financement!AD37*'Coût des médicaments'!$D$4+Financement!AD38*'Coût des médicaments'!$D$6+Financement!AD39*'Coût des médicaments'!$D$9+Financement!AD40*'Coût des médicaments'!$D$8+Financement!AD41*'Coût des médicaments'!$D$7)*'Résumé sommaire (USD)'!B33</f>
        <v>#REF!</v>
      </c>
      <c r="AE42" s="122">
        <f>AE34*'Coût des médicaments'!$D$2+Financement!AE35*'Coût des médicaments'!$D$3+Financement!AE36*'Coût des médicaments'!$D$5+Financement!AE37*'Coût des médicaments'!$D$4+Financement!AE38*'Coût des médicaments'!$D$6+Financement!AE39*'Coût des médicaments'!$D$9+Financement!AE40*'Coût des médicaments'!$D$8+Financement!AE41*'Coût des médicaments'!$D$7</f>
        <v>0</v>
      </c>
      <c r="AF42" s="122">
        <f>AF34*'Coût des médicaments'!$D$2+Financement!AF35*'Coût des médicaments'!$D$3+Financement!AF36*'Coût des médicaments'!$D$5+Financement!AF37*'Coût des médicaments'!$D$4+Financement!AF38*'Coût des médicaments'!$D$6+Financement!AF39*'Coût des médicaments'!$D$9+Financement!AF40*'Coût des médicaments'!$D$8+Financement!AF41*'Coût des médicaments'!$D$7</f>
        <v>0</v>
      </c>
      <c r="AG42" s="122">
        <f>AG34*'Coût des médicaments'!$D$2+Financement!AG35*'Coût des médicaments'!$D$3+Financement!AG36*'Coût des médicaments'!$D$5+Financement!AG37*'Coût des médicaments'!$D$4+Financement!AG38*'Coût des médicaments'!$D$6+Financement!AG39*'Coût des médicaments'!$D$9+Financement!AG40*'Coût des médicaments'!$D$8+Financement!AG41*'Coût des médicaments'!$D$7</f>
        <v>0</v>
      </c>
      <c r="AH42" s="122">
        <f>AH34*'Coût des médicaments'!$D$2+Financement!AH35*'Coût des médicaments'!$D$3+Financement!AH36*'Coût des médicaments'!$D$5+Financement!AH37*'Coût des médicaments'!$D$4+Financement!AH38*'Coût des médicaments'!$D$6+Financement!AH39*'Coût des médicaments'!$D$9+Financement!AH40*'Coût des médicaments'!$D$8+Financement!AH41*'Coût des médicaments'!$D$7</f>
        <v>0</v>
      </c>
      <c r="AI42" s="122">
        <f>AI34*'Coût des médicaments'!$D$2+Financement!AI35*'Coût des médicaments'!$D$3+Financement!AI36*'Coût des médicaments'!$D$5+Financement!AI37*'Coût des médicaments'!$D$4+Financement!AI38*'Coût des médicaments'!$D$6+Financement!AI39*'Coût des médicaments'!$D$9+Financement!AI40*'Coût des médicaments'!$D$8+Financement!AI41*'Coût des médicaments'!$D$7</f>
        <v>0</v>
      </c>
      <c r="AJ42" s="122">
        <f>AJ34*'Coût des médicaments'!$D$2+Financement!AJ35*'Coût des médicaments'!$D$3+Financement!AJ36*'Coût des médicaments'!$D$5+Financement!AJ37*'Coût des médicaments'!$D$4+Financement!AJ38*'Coût des médicaments'!$D$6+Financement!AJ39*'Coût des médicaments'!$D$9+Financement!AJ40*'Coût des médicaments'!$D$8+Financement!AJ41*'Coût des médicaments'!$D$7</f>
        <v>0</v>
      </c>
      <c r="AK42" s="122">
        <f>AK34*'Coût des médicaments'!$D$2+Financement!AK35*'Coût des médicaments'!$D$3+Financement!AK36*'Coût des médicaments'!$D$5+Financement!AK37*'Coût des médicaments'!$D$4+Financement!AK38*'Coût des médicaments'!$D$6+Financement!AK39*'Coût des médicaments'!$D$9+Financement!AK40*'Coût des médicaments'!$D$8+Financement!AK41*'Coût des médicaments'!$D$7</f>
        <v>0</v>
      </c>
      <c r="AL42" s="122" t="e">
        <f>AL34*'Coût des médicaments'!$D$2+Financement!AL35*'Coût des médicaments'!$D$3+Financement!AL36*'Coût des médicaments'!$D$5+Financement!AL37*'Coût des médicaments'!$D$4+Financement!AL38*'Coût des médicaments'!$D$6+Financement!AL39*'Coût des médicaments'!$D$9+Financement!AL40*'Coût des médicaments'!$D$8+Financement!AL41*'Coût des médicaments'!$D$7</f>
        <v>#REF!</v>
      </c>
      <c r="AM42" s="122" t="e">
        <f>(AM34*'Coût des médicaments'!$D$2+Financement!AM35*'Coût des médicaments'!$D$3+Financement!AM36*'Coût des médicaments'!$D$5+Financement!AM37*'Coût des médicaments'!$D$4+Financement!AM38*'Coût des médicaments'!$D$6+Financement!AM39*'Coût des médicaments'!$D$9+Financement!AM40*'Coût des médicaments'!$D$8+Financement!AM41*'Coût des médicaments'!$D$7)*'Résumé sommaire (USD)'!B33</f>
        <v>#REF!</v>
      </c>
      <c r="AN42" s="122">
        <f>AN34*'Coût des médicaments'!$D$2+Financement!AN35*'Coût des médicaments'!$D$3+Financement!AN36*'Coût des médicaments'!$D$5+Financement!AN37*'Coût des médicaments'!$D$4+Financement!AN38*'Coût des médicaments'!$D$6+Financement!AN39*'Coût des médicaments'!$D$9+Financement!AN40*'Coût des médicaments'!$D$8+Financement!AN41*'Coût des médicaments'!$D$7</f>
        <v>0</v>
      </c>
      <c r="AO42" s="122">
        <f>AO34*'Coût des médicaments'!$D$2+Financement!AO35*'Coût des médicaments'!$D$3+Financement!AO36*'Coût des médicaments'!$D$5+Financement!AO37*'Coût des médicaments'!$D$4+Financement!AO38*'Coût des médicaments'!$D$6+Financement!AO39*'Coût des médicaments'!$D$9+Financement!AO40*'Coût des médicaments'!$D$8+Financement!AO41*'Coût des médicaments'!$D$7</f>
        <v>0</v>
      </c>
      <c r="AP42" s="122">
        <f>AP34*'Coût des médicaments'!$D$2+Financement!AP35*'Coût des médicaments'!$D$3+Financement!AP36*'Coût des médicaments'!$D$5+Financement!AP37*'Coût des médicaments'!$D$4+Financement!AP38*'Coût des médicaments'!$D$6+Financement!AP39*'Coût des médicaments'!$D$9+Financement!AP40*'Coût des médicaments'!$D$8+Financement!AP41*'Coût des médicaments'!$D$7</f>
        <v>0</v>
      </c>
      <c r="AQ42" s="122">
        <f>AQ34*'Coût des médicaments'!$D$2+Financement!AQ35*'Coût des médicaments'!$D$3+Financement!AQ36*'Coût des médicaments'!$D$5+Financement!AQ37*'Coût des médicaments'!$D$4+Financement!AQ38*'Coût des médicaments'!$D$6+Financement!AQ39*'Coût des médicaments'!$D$9+Financement!AQ40*'Coût des médicaments'!$D$8+Financement!AQ41*'Coût des médicaments'!$D$7</f>
        <v>0</v>
      </c>
      <c r="AR42" s="122">
        <f>AR34*'Coût des médicaments'!$D$2+Financement!AR35*'Coût des médicaments'!$D$3+Financement!AR36*'Coût des médicaments'!$D$5+Financement!AR37*'Coût des médicaments'!$D$4+Financement!AR38*'Coût des médicaments'!$D$6+Financement!AR39*'Coût des médicaments'!$D$9+Financement!AR40*'Coût des médicaments'!$D$8+Financement!AR41*'Coût des médicaments'!$D$7</f>
        <v>0</v>
      </c>
      <c r="AS42" s="122">
        <f>AS34*'Coût des médicaments'!$D$2+Financement!AS35*'Coût des médicaments'!$D$3+Financement!AS36*'Coût des médicaments'!$D$5+Financement!AS37*'Coût des médicaments'!$D$4+Financement!AS38*'Coût des médicaments'!$D$6+Financement!AS39*'Coût des médicaments'!$D$9+Financement!AS40*'Coût des médicaments'!$D$8+Financement!AS41*'Coût des médicaments'!$D$7</f>
        <v>0</v>
      </c>
      <c r="AT42" s="122">
        <f>AT34*'Coût des médicaments'!$D$2+Financement!AT35*'Coût des médicaments'!$D$3+Financement!AT36*'Coût des médicaments'!$D$5+Financement!AT37*'Coût des médicaments'!$D$4+Financement!AT38*'Coût des médicaments'!$D$6+Financement!AT39*'Coût des médicaments'!$D$9+Financement!AT40*'Coût des médicaments'!$D$8+Financement!AT41*'Coût des médicaments'!$D$7</f>
        <v>0</v>
      </c>
      <c r="AU42" s="122" t="e">
        <f>AU34*'Coût des médicaments'!$D$2+Financement!AU35*'Coût des médicaments'!$D$3+Financement!AU36*'Coût des médicaments'!$D$5+Financement!AU37*'Coût des médicaments'!$D$4+Financement!AU38*'Coût des médicaments'!$D$6+Financement!AU39*'Coût des médicaments'!$D$9+Financement!AU40*'Coût des médicaments'!$D$8+Financement!AU41*'Coût des médicaments'!$D$7</f>
        <v>#REF!</v>
      </c>
    </row>
    <row r="43" spans="1:47">
      <c r="A43" s="121"/>
      <c r="B43" s="121"/>
      <c r="C43" s="123"/>
      <c r="D43" s="124" t="str">
        <f t="shared" ref="D43:K43" si="21">D33</f>
        <v>Govt</v>
      </c>
      <c r="E43" s="124" t="str">
        <f t="shared" si="21"/>
        <v>USAID</v>
      </c>
      <c r="F43" s="124" t="str">
        <f t="shared" si="21"/>
        <v>APOC</v>
      </c>
      <c r="G43" s="124" t="str">
        <f t="shared" si="21"/>
        <v>ITI</v>
      </c>
      <c r="H43" s="124" t="str">
        <f t="shared" si="21"/>
        <v>CNTD</v>
      </c>
      <c r="I43" s="124">
        <f t="shared" si="21"/>
        <v>0</v>
      </c>
      <c r="J43" s="124">
        <f t="shared" si="21"/>
        <v>0</v>
      </c>
      <c r="K43" s="124" t="str">
        <f t="shared" si="21"/>
        <v>Gap</v>
      </c>
      <c r="L43" s="123"/>
      <c r="M43" s="124" t="str">
        <f t="shared" ref="M43:T43" si="22">M33</f>
        <v>Govt</v>
      </c>
      <c r="N43" s="124" t="str">
        <f t="shared" si="22"/>
        <v>USAID</v>
      </c>
      <c r="O43" s="124" t="str">
        <f t="shared" si="22"/>
        <v>APOC</v>
      </c>
      <c r="P43" s="124" t="str">
        <f t="shared" si="22"/>
        <v>ITI</v>
      </c>
      <c r="Q43" s="124" t="str">
        <f t="shared" si="22"/>
        <v>CNTD</v>
      </c>
      <c r="R43" s="124">
        <f t="shared" si="22"/>
        <v>0</v>
      </c>
      <c r="S43" s="124">
        <f t="shared" si="22"/>
        <v>0</v>
      </c>
      <c r="T43" s="124" t="str">
        <f t="shared" si="22"/>
        <v>Gap</v>
      </c>
      <c r="U43" s="123"/>
      <c r="V43" s="124" t="str">
        <f t="shared" ref="V43:AC43" si="23">V33</f>
        <v>Govt</v>
      </c>
      <c r="W43" s="124" t="str">
        <f t="shared" si="23"/>
        <v>USAID</v>
      </c>
      <c r="X43" s="124" t="str">
        <f t="shared" si="23"/>
        <v>APOC</v>
      </c>
      <c r="Y43" s="124" t="str">
        <f t="shared" si="23"/>
        <v>ITI</v>
      </c>
      <c r="Z43" s="124" t="str">
        <f t="shared" si="23"/>
        <v>CNTD</v>
      </c>
      <c r="AA43" s="124">
        <f t="shared" si="23"/>
        <v>0</v>
      </c>
      <c r="AB43" s="124">
        <f t="shared" si="23"/>
        <v>0</v>
      </c>
      <c r="AC43" s="124" t="str">
        <f t="shared" si="23"/>
        <v>Gap</v>
      </c>
      <c r="AD43" s="123"/>
      <c r="AE43" s="124" t="str">
        <f t="shared" ref="AE43:AL43" si="24">AE33</f>
        <v>Govt</v>
      </c>
      <c r="AF43" s="124" t="str">
        <f t="shared" si="24"/>
        <v>USAID</v>
      </c>
      <c r="AG43" s="124" t="str">
        <f t="shared" si="24"/>
        <v>APOC</v>
      </c>
      <c r="AH43" s="124" t="str">
        <f t="shared" si="24"/>
        <v>ITI</v>
      </c>
      <c r="AI43" s="124" t="str">
        <f t="shared" si="24"/>
        <v>CNTD</v>
      </c>
      <c r="AJ43" s="124">
        <f t="shared" si="24"/>
        <v>0</v>
      </c>
      <c r="AK43" s="124">
        <f t="shared" si="24"/>
        <v>0</v>
      </c>
      <c r="AL43" s="124" t="str">
        <f t="shared" si="24"/>
        <v>Gap</v>
      </c>
      <c r="AM43" s="123"/>
      <c r="AN43" s="124" t="str">
        <f t="shared" ref="AN43:AU43" si="25">AN33</f>
        <v>Govt</v>
      </c>
      <c r="AO43" s="124" t="str">
        <f t="shared" si="25"/>
        <v>USAID</v>
      </c>
      <c r="AP43" s="124" t="str">
        <f t="shared" si="25"/>
        <v>APOC</v>
      </c>
      <c r="AQ43" s="124" t="str">
        <f t="shared" si="25"/>
        <v>ITI</v>
      </c>
      <c r="AR43" s="124" t="str">
        <f t="shared" si="25"/>
        <v>CNTD</v>
      </c>
      <c r="AS43" s="124">
        <f t="shared" si="25"/>
        <v>0</v>
      </c>
      <c r="AT43" s="124">
        <f t="shared" si="25"/>
        <v>0</v>
      </c>
      <c r="AU43" s="124" t="str">
        <f t="shared" si="25"/>
        <v>Gap</v>
      </c>
    </row>
    <row r="44" spans="1:47">
      <c r="A44" s="121"/>
      <c r="B44" s="121"/>
      <c r="C44" s="123"/>
      <c r="D44" s="124">
        <f>D24+D42</f>
        <v>0</v>
      </c>
      <c r="E44" s="124">
        <f t="shared" ref="E44:K44" si="26">E24+E42</f>
        <v>0</v>
      </c>
      <c r="F44" s="124">
        <f t="shared" si="26"/>
        <v>0</v>
      </c>
      <c r="G44" s="124">
        <f t="shared" si="26"/>
        <v>0</v>
      </c>
      <c r="H44" s="124">
        <f t="shared" si="26"/>
        <v>0</v>
      </c>
      <c r="I44" s="124">
        <f t="shared" si="26"/>
        <v>0</v>
      </c>
      <c r="J44" s="124">
        <f t="shared" si="26"/>
        <v>0</v>
      </c>
      <c r="K44" s="124" t="e">
        <f t="shared" si="26"/>
        <v>#REF!</v>
      </c>
      <c r="L44" s="123"/>
      <c r="M44" s="124">
        <f>M24+M42</f>
        <v>0</v>
      </c>
      <c r="N44" s="124">
        <f t="shared" ref="N44:T44" si="27">N24+N42</f>
        <v>0</v>
      </c>
      <c r="O44" s="124">
        <f t="shared" si="27"/>
        <v>0</v>
      </c>
      <c r="P44" s="124">
        <f t="shared" si="27"/>
        <v>0</v>
      </c>
      <c r="Q44" s="124">
        <f t="shared" si="27"/>
        <v>0</v>
      </c>
      <c r="R44" s="124">
        <f t="shared" si="27"/>
        <v>0</v>
      </c>
      <c r="S44" s="124">
        <f t="shared" si="27"/>
        <v>0</v>
      </c>
      <c r="T44" s="124" t="e">
        <f t="shared" si="27"/>
        <v>#REF!</v>
      </c>
      <c r="U44" s="123"/>
      <c r="V44" s="124">
        <f>V24+V42</f>
        <v>0</v>
      </c>
      <c r="W44" s="124">
        <f t="shared" ref="W44:AC44" si="28">W24+W42</f>
        <v>0</v>
      </c>
      <c r="X44" s="124">
        <f t="shared" si="28"/>
        <v>0</v>
      </c>
      <c r="Y44" s="124">
        <f t="shared" si="28"/>
        <v>0</v>
      </c>
      <c r="Z44" s="124">
        <f t="shared" si="28"/>
        <v>0</v>
      </c>
      <c r="AA44" s="124">
        <f t="shared" si="28"/>
        <v>0</v>
      </c>
      <c r="AB44" s="124">
        <f t="shared" si="28"/>
        <v>0</v>
      </c>
      <c r="AC44" s="124" t="e">
        <f t="shared" si="28"/>
        <v>#REF!</v>
      </c>
      <c r="AD44" s="123"/>
      <c r="AE44" s="124">
        <f>AE24+AE42</f>
        <v>0</v>
      </c>
      <c r="AF44" s="124">
        <f t="shared" ref="AF44:AL44" si="29">AF24+AF42</f>
        <v>0</v>
      </c>
      <c r="AG44" s="124">
        <f t="shared" si="29"/>
        <v>0</v>
      </c>
      <c r="AH44" s="124">
        <f t="shared" si="29"/>
        <v>0</v>
      </c>
      <c r="AI44" s="124">
        <f t="shared" si="29"/>
        <v>0</v>
      </c>
      <c r="AJ44" s="124">
        <f t="shared" si="29"/>
        <v>0</v>
      </c>
      <c r="AK44" s="124">
        <f t="shared" si="29"/>
        <v>0</v>
      </c>
      <c r="AL44" s="124" t="e">
        <f t="shared" si="29"/>
        <v>#REF!</v>
      </c>
      <c r="AM44" s="123"/>
      <c r="AN44" s="124">
        <f>AN24+AN42</f>
        <v>0</v>
      </c>
      <c r="AO44" s="124">
        <f t="shared" ref="AO44:AU44" si="30">AO24+AO42</f>
        <v>0</v>
      </c>
      <c r="AP44" s="124">
        <f t="shared" si="30"/>
        <v>0</v>
      </c>
      <c r="AQ44" s="124">
        <f t="shared" si="30"/>
        <v>0</v>
      </c>
      <c r="AR44" s="124">
        <f t="shared" si="30"/>
        <v>0</v>
      </c>
      <c r="AS44" s="124">
        <f t="shared" si="30"/>
        <v>0</v>
      </c>
      <c r="AT44" s="124">
        <f t="shared" si="30"/>
        <v>0</v>
      </c>
      <c r="AU44" s="124" t="e">
        <f t="shared" si="30"/>
        <v>#REF!</v>
      </c>
    </row>
    <row r="45" spans="1:47">
      <c r="A45" s="121"/>
      <c r="B45" s="121"/>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row>
    <row r="46" spans="1:47" ht="15">
      <c r="C46" s="125"/>
      <c r="D46" s="126"/>
      <c r="E46" s="126"/>
      <c r="F46" s="126"/>
      <c r="G46" s="126"/>
      <c r="H46" s="126"/>
      <c r="I46" s="126"/>
      <c r="J46" s="126"/>
      <c r="K46" s="126"/>
      <c r="L46" s="125"/>
      <c r="M46" s="126"/>
      <c r="N46" s="126"/>
      <c r="O46" s="126"/>
      <c r="P46" s="126"/>
      <c r="Q46" s="126"/>
      <c r="R46" s="126"/>
      <c r="S46" s="126"/>
      <c r="T46" s="126"/>
      <c r="U46" s="125"/>
      <c r="V46" s="126"/>
      <c r="W46" s="126"/>
      <c r="X46" s="126"/>
      <c r="Y46" s="126"/>
      <c r="Z46" s="126"/>
      <c r="AA46" s="126"/>
      <c r="AB46" s="126"/>
      <c r="AC46" s="126"/>
      <c r="AD46" s="125"/>
      <c r="AE46" s="126"/>
      <c r="AF46" s="126"/>
      <c r="AG46" s="126"/>
      <c r="AH46" s="126"/>
      <c r="AI46" s="126"/>
      <c r="AJ46" s="126"/>
      <c r="AK46" s="126"/>
      <c r="AL46" s="126"/>
      <c r="AM46" s="125"/>
      <c r="AN46" s="126"/>
      <c r="AO46" s="126"/>
      <c r="AP46" s="126"/>
      <c r="AQ46" s="126"/>
      <c r="AR46" s="126"/>
      <c r="AS46" s="126"/>
      <c r="AT46" s="126"/>
      <c r="AU46" s="126"/>
    </row>
    <row r="47" spans="1:47" ht="15">
      <c r="C47" s="127"/>
      <c r="D47" s="128"/>
      <c r="E47" s="125"/>
      <c r="F47" s="125"/>
      <c r="G47" s="125"/>
      <c r="H47" s="125"/>
      <c r="I47" s="125"/>
      <c r="J47" s="125"/>
      <c r="K47" s="125"/>
      <c r="L47" s="127"/>
      <c r="M47" s="128"/>
      <c r="N47" s="125"/>
      <c r="O47" s="125"/>
      <c r="P47" s="125"/>
      <c r="Q47" s="125"/>
      <c r="R47" s="125"/>
      <c r="S47" s="125"/>
      <c r="T47" s="125"/>
      <c r="U47" s="127"/>
      <c r="V47" s="128"/>
      <c r="W47" s="125"/>
      <c r="X47" s="125"/>
      <c r="Y47" s="125"/>
      <c r="Z47" s="125"/>
      <c r="AA47" s="125"/>
      <c r="AB47" s="125"/>
      <c r="AC47" s="125"/>
      <c r="AD47" s="127"/>
      <c r="AE47" s="128"/>
      <c r="AF47" s="125"/>
      <c r="AG47" s="125"/>
      <c r="AH47" s="125"/>
      <c r="AI47" s="125"/>
      <c r="AJ47" s="125"/>
      <c r="AK47" s="125"/>
      <c r="AL47" s="125"/>
      <c r="AM47" s="127"/>
      <c r="AN47" s="128"/>
      <c r="AO47" s="125"/>
      <c r="AP47" s="125"/>
      <c r="AQ47" s="125"/>
      <c r="AR47" s="125"/>
      <c r="AS47" s="125"/>
      <c r="AT47" s="125"/>
      <c r="AU47" s="125"/>
    </row>
    <row r="48" spans="1:47" ht="15">
      <c r="C48" s="127"/>
      <c r="D48" s="128"/>
      <c r="E48" s="125"/>
      <c r="F48" s="125"/>
      <c r="G48" s="125"/>
      <c r="H48" s="125"/>
      <c r="I48" s="125"/>
      <c r="J48" s="125"/>
      <c r="K48" s="125"/>
      <c r="L48" s="127"/>
      <c r="M48" s="128"/>
      <c r="N48" s="125"/>
      <c r="O48" s="125"/>
      <c r="P48" s="125"/>
      <c r="Q48" s="125"/>
      <c r="R48" s="125"/>
      <c r="S48" s="125"/>
      <c r="T48" s="125"/>
      <c r="U48" s="127"/>
      <c r="V48" s="128"/>
      <c r="W48" s="125"/>
      <c r="X48" s="125"/>
      <c r="Y48" s="125"/>
      <c r="Z48" s="125"/>
      <c r="AA48" s="125"/>
      <c r="AB48" s="125"/>
      <c r="AC48" s="125"/>
      <c r="AD48" s="127"/>
      <c r="AE48" s="128"/>
      <c r="AF48" s="125"/>
      <c r="AG48" s="125"/>
      <c r="AH48" s="125"/>
      <c r="AI48" s="125"/>
      <c r="AJ48" s="125"/>
      <c r="AK48" s="125"/>
      <c r="AL48" s="125"/>
      <c r="AM48" s="127"/>
      <c r="AN48" s="128"/>
      <c r="AO48" s="125"/>
      <c r="AP48" s="125"/>
      <c r="AQ48" s="125"/>
      <c r="AR48" s="125"/>
      <c r="AS48" s="125"/>
      <c r="AT48" s="125"/>
      <c r="AU48" s="125"/>
    </row>
    <row r="49" spans="3:47" ht="15">
      <c r="C49" s="125"/>
      <c r="D49" s="128"/>
      <c r="E49" s="125"/>
      <c r="F49" s="125"/>
      <c r="G49" s="125"/>
      <c r="H49" s="125"/>
      <c r="I49" s="125"/>
      <c r="J49" s="125"/>
      <c r="K49" s="125"/>
      <c r="L49" s="125"/>
      <c r="M49" s="128"/>
      <c r="N49" s="125"/>
      <c r="O49" s="125"/>
      <c r="P49" s="125"/>
      <c r="Q49" s="125"/>
      <c r="R49" s="125"/>
      <c r="S49" s="125"/>
      <c r="T49" s="125"/>
      <c r="U49" s="125"/>
      <c r="V49" s="128"/>
      <c r="W49" s="125"/>
      <c r="X49" s="125"/>
      <c r="Y49" s="125"/>
      <c r="Z49" s="125"/>
      <c r="AA49" s="125"/>
      <c r="AB49" s="125"/>
      <c r="AC49" s="125"/>
      <c r="AD49" s="125"/>
      <c r="AE49" s="128"/>
      <c r="AF49" s="125"/>
      <c r="AG49" s="125"/>
      <c r="AH49" s="125"/>
      <c r="AI49" s="125"/>
      <c r="AJ49" s="125"/>
      <c r="AK49" s="125"/>
      <c r="AL49" s="125"/>
      <c r="AM49" s="125"/>
      <c r="AN49" s="128"/>
      <c r="AO49" s="125"/>
      <c r="AP49" s="125"/>
      <c r="AQ49" s="125"/>
      <c r="AR49" s="125"/>
      <c r="AS49" s="125"/>
      <c r="AT49" s="125"/>
      <c r="AU49" s="125"/>
    </row>
    <row r="50" spans="3:47" ht="15">
      <c r="C50" s="125"/>
      <c r="D50" s="128"/>
      <c r="E50" s="125"/>
      <c r="F50" s="125"/>
      <c r="G50" s="125"/>
      <c r="H50" s="125"/>
      <c r="I50" s="125"/>
      <c r="J50" s="125"/>
      <c r="K50" s="125"/>
      <c r="L50" s="125"/>
      <c r="M50" s="128"/>
      <c r="N50" s="125"/>
      <c r="O50" s="125"/>
      <c r="P50" s="125"/>
      <c r="Q50" s="125"/>
      <c r="R50" s="125"/>
      <c r="S50" s="125"/>
      <c r="T50" s="125"/>
      <c r="U50" s="125"/>
      <c r="V50" s="128"/>
      <c r="W50" s="125"/>
      <c r="X50" s="125"/>
      <c r="Y50" s="125"/>
      <c r="Z50" s="125"/>
      <c r="AA50" s="125"/>
      <c r="AB50" s="125"/>
      <c r="AC50" s="125"/>
      <c r="AD50" s="125"/>
      <c r="AE50" s="128"/>
      <c r="AF50" s="125"/>
      <c r="AG50" s="125"/>
      <c r="AH50" s="125"/>
      <c r="AI50" s="125"/>
      <c r="AJ50" s="125"/>
      <c r="AK50" s="125"/>
      <c r="AL50" s="125"/>
      <c r="AM50" s="125"/>
      <c r="AN50" s="128"/>
      <c r="AO50" s="125"/>
      <c r="AP50" s="125"/>
      <c r="AQ50" s="125"/>
      <c r="AR50" s="125"/>
      <c r="AS50" s="125"/>
      <c r="AT50" s="125"/>
      <c r="AU50" s="125"/>
    </row>
    <row r="51" spans="3:47" ht="15">
      <c r="C51" s="125"/>
      <c r="D51" s="128"/>
      <c r="E51" s="125"/>
      <c r="F51" s="125"/>
      <c r="G51" s="125"/>
      <c r="H51" s="125"/>
      <c r="I51" s="125"/>
      <c r="J51" s="125"/>
      <c r="K51" s="125"/>
      <c r="L51" s="125"/>
      <c r="M51" s="128"/>
      <c r="N51" s="125"/>
      <c r="O51" s="125"/>
      <c r="P51" s="125"/>
      <c r="Q51" s="125"/>
      <c r="R51" s="125"/>
      <c r="S51" s="125"/>
      <c r="T51" s="125"/>
      <c r="U51" s="125"/>
      <c r="V51" s="128"/>
      <c r="W51" s="125"/>
      <c r="X51" s="125"/>
      <c r="Y51" s="125"/>
      <c r="Z51" s="125"/>
      <c r="AA51" s="125"/>
      <c r="AB51" s="125"/>
      <c r="AC51" s="125"/>
      <c r="AD51" s="125"/>
      <c r="AE51" s="128"/>
      <c r="AF51" s="125"/>
      <c r="AG51" s="125"/>
      <c r="AH51" s="125"/>
      <c r="AI51" s="125"/>
      <c r="AJ51" s="125"/>
      <c r="AK51" s="125"/>
      <c r="AL51" s="125"/>
      <c r="AM51" s="125"/>
      <c r="AN51" s="128"/>
      <c r="AO51" s="125"/>
      <c r="AP51" s="125"/>
      <c r="AQ51" s="125"/>
      <c r="AR51" s="125"/>
      <c r="AS51" s="125"/>
      <c r="AT51" s="125"/>
      <c r="AU51" s="125"/>
    </row>
    <row r="52" spans="3:47" ht="15">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F11"/>
  <sheetViews>
    <sheetView workbookViewId="0">
      <selection activeCell="A5" sqref="A5"/>
    </sheetView>
  </sheetViews>
  <sheetFormatPr baseColWidth="10" defaultColWidth="9.140625" defaultRowHeight="12.75"/>
  <cols>
    <col min="1" max="1" width="32.42578125" customWidth="1"/>
    <col min="2" max="2" width="15" customWidth="1"/>
    <col min="3" max="3" width="19.5703125" customWidth="1"/>
    <col min="4" max="4" width="16.28515625" customWidth="1"/>
    <col min="5" max="5" width="16.85546875" customWidth="1"/>
    <col min="6" max="6" width="46" customWidth="1"/>
    <col min="7" max="7" width="9.140625" customWidth="1"/>
  </cols>
  <sheetData>
    <row r="1" spans="1:6" ht="25.5">
      <c r="A1" s="83" t="s">
        <v>154</v>
      </c>
      <c r="B1" s="84" t="s">
        <v>163</v>
      </c>
      <c r="C1" s="84" t="s">
        <v>164</v>
      </c>
      <c r="D1" s="85" t="s">
        <v>165</v>
      </c>
      <c r="E1" s="85" t="s">
        <v>166</v>
      </c>
      <c r="F1" s="86" t="s">
        <v>167</v>
      </c>
    </row>
    <row r="2" spans="1:6" ht="17.25" customHeight="1">
      <c r="A2" s="87" t="s">
        <v>168</v>
      </c>
      <c r="B2" s="88" t="s">
        <v>169</v>
      </c>
      <c r="C2" s="88" t="s">
        <v>170</v>
      </c>
      <c r="D2" s="89">
        <v>0</v>
      </c>
      <c r="E2" s="89">
        <v>2.8</v>
      </c>
      <c r="F2" s="90" t="s">
        <v>171</v>
      </c>
    </row>
    <row r="3" spans="1:6" ht="15">
      <c r="A3" s="87" t="s">
        <v>172</v>
      </c>
      <c r="B3" s="88" t="s">
        <v>70</v>
      </c>
      <c r="C3" s="88" t="s">
        <v>173</v>
      </c>
      <c r="D3" s="91">
        <v>4.0000000000000001E-3</v>
      </c>
      <c r="E3" s="89">
        <v>2.5</v>
      </c>
      <c r="F3" s="90" t="s">
        <v>174</v>
      </c>
    </row>
    <row r="4" spans="1:6" ht="15">
      <c r="A4" s="87" t="s">
        <v>175</v>
      </c>
      <c r="B4" s="88" t="s">
        <v>70</v>
      </c>
      <c r="C4" s="88" t="s">
        <v>176</v>
      </c>
      <c r="D4" s="89">
        <v>0</v>
      </c>
      <c r="E4" s="89">
        <v>1</v>
      </c>
      <c r="F4" s="90" t="s">
        <v>177</v>
      </c>
    </row>
    <row r="5" spans="1:6" ht="15">
      <c r="A5" s="87" t="s">
        <v>178</v>
      </c>
      <c r="B5" s="88" t="s">
        <v>179</v>
      </c>
      <c r="C5" s="88" t="s">
        <v>180</v>
      </c>
      <c r="D5" s="91">
        <v>0.08</v>
      </c>
      <c r="E5" s="89">
        <v>2.5</v>
      </c>
      <c r="F5" s="90" t="s">
        <v>181</v>
      </c>
    </row>
    <row r="6" spans="1:6" ht="15">
      <c r="A6" s="87" t="s">
        <v>182</v>
      </c>
      <c r="B6" s="88" t="s">
        <v>64</v>
      </c>
      <c r="C6" s="88" t="s">
        <v>183</v>
      </c>
      <c r="D6" s="89">
        <v>0</v>
      </c>
      <c r="E6" s="89">
        <v>1</v>
      </c>
      <c r="F6" s="90" t="s">
        <v>184</v>
      </c>
    </row>
    <row r="7" spans="1:6" ht="15">
      <c r="A7" s="87" t="s">
        <v>185</v>
      </c>
      <c r="B7" s="88" t="s">
        <v>73</v>
      </c>
      <c r="C7" s="88" t="s">
        <v>186</v>
      </c>
      <c r="D7" s="89">
        <v>0</v>
      </c>
      <c r="E7" s="92">
        <v>3</v>
      </c>
      <c r="F7" s="90" t="s">
        <v>187</v>
      </c>
    </row>
    <row r="8" spans="1:6" ht="15">
      <c r="A8" s="87" t="s">
        <v>188</v>
      </c>
      <c r="B8" s="88" t="s">
        <v>73</v>
      </c>
      <c r="C8" s="88" t="s">
        <v>189</v>
      </c>
      <c r="D8" s="89">
        <v>0</v>
      </c>
      <c r="E8" s="93">
        <f>1/3</f>
        <v>0.33333333333333331</v>
      </c>
      <c r="F8" s="90" t="s">
        <v>190</v>
      </c>
    </row>
    <row r="9" spans="1:6" ht="15">
      <c r="A9" s="94" t="s">
        <v>191</v>
      </c>
      <c r="B9" s="95" t="s">
        <v>73</v>
      </c>
      <c r="C9" s="95" t="s">
        <v>192</v>
      </c>
      <c r="D9" s="96">
        <v>0.16400000000000001</v>
      </c>
      <c r="E9" s="97">
        <v>2</v>
      </c>
      <c r="F9" s="98" t="s">
        <v>193</v>
      </c>
    </row>
    <row r="11" spans="1:6">
      <c r="A11" t="s">
        <v>194</v>
      </c>
    </row>
  </sheetData>
  <pageMargins left="0.69930555555555596" right="0.69930555555555596" top="0.75" bottom="0.75" header="0.3" footer="0.3"/>
  <pageSetup paperSize="9" orientation="landscape"/>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N59"/>
  <sheetViews>
    <sheetView showGridLines="0" view="pageBreakPreview" zoomScale="89" zoomScaleNormal="70" zoomScaleSheetLayoutView="89" workbookViewId="0">
      <selection activeCell="A4" sqref="A4"/>
    </sheetView>
  </sheetViews>
  <sheetFormatPr baseColWidth="10" defaultColWidth="9.140625" defaultRowHeight="15"/>
  <cols>
    <col min="1" max="1" width="4.28515625" style="14" customWidth="1"/>
    <col min="2" max="2" width="48.140625" style="14" customWidth="1"/>
    <col min="3" max="3" width="14.28515625" style="14" customWidth="1"/>
    <col min="4" max="4" width="15" style="14" customWidth="1"/>
    <col min="5" max="14" width="16.28515625" style="14" customWidth="1"/>
    <col min="15" max="15" width="3.7109375" style="14" customWidth="1"/>
    <col min="16" max="16" width="9.140625" style="14" customWidth="1"/>
    <col min="17" max="16384" width="9.140625" style="14"/>
  </cols>
  <sheetData>
    <row r="1" spans="1:14" ht="15.75">
      <c r="A1" s="52" t="s">
        <v>195</v>
      </c>
    </row>
    <row r="2" spans="1:14">
      <c r="A2" s="350" t="s">
        <v>196</v>
      </c>
      <c r="B2" s="350"/>
      <c r="C2" s="349">
        <f>C12</f>
        <v>2018</v>
      </c>
      <c r="D2" s="349"/>
      <c r="E2" s="349">
        <f>C2+1</f>
        <v>2019</v>
      </c>
      <c r="F2" s="349"/>
      <c r="G2" s="349">
        <f>E2+1</f>
        <v>2020</v>
      </c>
      <c r="H2" s="349"/>
      <c r="I2" s="349">
        <f>G2+1</f>
        <v>2021</v>
      </c>
      <c r="J2" s="349"/>
      <c r="K2" s="349">
        <f>I2+1</f>
        <v>2022</v>
      </c>
      <c r="L2" s="349"/>
    </row>
    <row r="3" spans="1:14">
      <c r="A3" s="350"/>
      <c r="B3" s="350"/>
      <c r="C3" s="54" t="s">
        <v>197</v>
      </c>
      <c r="D3" s="55" t="s">
        <v>198</v>
      </c>
      <c r="E3" s="55" t="s">
        <v>199</v>
      </c>
      <c r="F3" s="55" t="s">
        <v>198</v>
      </c>
      <c r="G3" s="55" t="s">
        <v>199</v>
      </c>
      <c r="H3" s="55" t="s">
        <v>198</v>
      </c>
      <c r="I3" s="55" t="s">
        <v>199</v>
      </c>
      <c r="J3" s="55" t="s">
        <v>198</v>
      </c>
      <c r="K3" s="54" t="s">
        <v>199</v>
      </c>
      <c r="L3" s="55" t="s">
        <v>198</v>
      </c>
    </row>
    <row r="4" spans="1:14">
      <c r="A4" s="56"/>
      <c r="B4" s="57" t="s">
        <v>61</v>
      </c>
      <c r="C4" s="58" t="e">
        <f>SUM('Pop Cibles'!D$4:D988)+SUM('Pop Cibles'!E$4:E988)+SUM('Pop Cibles'!F$4:F988)</f>
        <v>#REF!</v>
      </c>
      <c r="D4" s="348" t="e">
        <f>SUM('Pop Cibles'!R:R)</f>
        <v>#REF!</v>
      </c>
      <c r="E4" s="59" t="e">
        <f>SUM('Pop Cibles'!S$4:S988)+SUM('Pop Cibles'!T$4:T988)+SUM('Pop Cibles'!U$4:U988)</f>
        <v>#REF!</v>
      </c>
      <c r="F4" s="348" t="e">
        <f>SUM('Pop Cibles'!AG:AG)</f>
        <v>#REF!</v>
      </c>
      <c r="G4" s="59" t="e">
        <f>SUM('Pop Cibles'!AH$4:AH988)+SUM('Pop Cibles'!AI$4:AI988)+SUM('Pop Cibles'!AJ$4:AJ988)</f>
        <v>#REF!</v>
      </c>
      <c r="H4" s="348" t="e">
        <f>SUM('Pop Cibles'!AV:AV)</f>
        <v>#REF!</v>
      </c>
      <c r="I4" s="59" t="e">
        <f>SUM('Pop Cibles'!AW$4:AW988)+SUM('Pop Cibles'!AX$4:AX988)+SUM('Pop Cibles'!AY$4:AY988)</f>
        <v>#REF!</v>
      </c>
      <c r="J4" s="348" t="e">
        <f>SUM('Pop Cibles'!BK:BK)</f>
        <v>#REF!</v>
      </c>
      <c r="K4" s="59" t="e">
        <f>SUM('Pop Cibles'!BL$4:BL988)+SUM('Pop Cibles'!BM$4:BM988)+SUM('Pop Cibles'!BN$4:BN988)</f>
        <v>#REF!</v>
      </c>
      <c r="L4" s="348" t="e">
        <f>SUM('Pop Cibles'!BZ:BZ)</f>
        <v>#REF!</v>
      </c>
    </row>
    <row r="5" spans="1:14">
      <c r="A5" s="60"/>
      <c r="B5" s="61" t="s">
        <v>62</v>
      </c>
      <c r="C5" s="62" t="e">
        <f>SUM('Pop Cibles'!G:G)+SUM('Pop Cibles'!H:H)</f>
        <v>#REF!</v>
      </c>
      <c r="D5" s="348"/>
      <c r="E5" s="63" t="e">
        <f>SUM('Pop Cibles'!V:V)+SUM('Pop Cibles'!W:W)</f>
        <v>#REF!</v>
      </c>
      <c r="F5" s="348"/>
      <c r="G5" s="63" t="e">
        <f>SUM('Pop Cibles'!AK:AK)+SUM('Pop Cibles'!AL:AL)</f>
        <v>#REF!</v>
      </c>
      <c r="H5" s="348"/>
      <c r="I5" s="63" t="e">
        <f>SUM('Pop Cibles'!AZ:AZ)+SUM('Pop Cibles'!BA:BA)</f>
        <v>#REF!</v>
      </c>
      <c r="J5" s="348"/>
      <c r="K5" s="63" t="e">
        <f>SUM('Pop Cibles'!BO:BO)+SUM('Pop Cibles'!BP:BP)</f>
        <v>#REF!</v>
      </c>
      <c r="L5" s="348"/>
    </row>
    <row r="6" spans="1:14">
      <c r="A6" s="64"/>
      <c r="B6" s="65" t="s">
        <v>63</v>
      </c>
      <c r="C6" s="62" t="e">
        <f>SUM('Pop Cibles'!I:I)+SUM('Pop Cibles'!J:J)</f>
        <v>#REF!</v>
      </c>
      <c r="D6" s="348"/>
      <c r="E6" s="63" t="e">
        <f>SUM('Pop Cibles'!P:P)+SUM('Pop Cibles'!Q:Q)</f>
        <v>#REF!</v>
      </c>
      <c r="F6" s="348"/>
      <c r="G6" s="63" t="e">
        <f>SUM('Pop Cibles'!W:W)+SUM('Pop Cibles'!X:X)</f>
        <v>#REF!</v>
      </c>
      <c r="H6" s="348"/>
      <c r="I6" s="63" t="e">
        <f>SUM('Pop Cibles'!AD:AD)+SUM('Pop Cibles'!AE:AE)</f>
        <v>#REF!</v>
      </c>
      <c r="J6" s="348"/>
      <c r="K6" s="63" t="e">
        <f>SUM('Pop Cibles'!AK:AK)+SUM('Pop Cibles'!AL:AL)</f>
        <v>#REF!</v>
      </c>
      <c r="L6" s="348"/>
    </row>
    <row r="7" spans="1:14">
      <c r="A7" s="64"/>
      <c r="B7" s="65" t="s">
        <v>200</v>
      </c>
      <c r="C7" s="62" t="e">
        <f>SUM('Pop Cibles'!K:K)+SUM('Pop Cibles'!L:L)+SUM('Pop Cibles'!M:M)</f>
        <v>#REF!</v>
      </c>
      <c r="D7" s="348"/>
      <c r="E7" s="63" t="e">
        <f>SUM('Pop Cibles'!Z:Z)+SUM('Pop Cibles'!AA:AA)+SUM('Pop Cibles'!AB:AB)</f>
        <v>#REF!</v>
      </c>
      <c r="F7" s="348"/>
      <c r="G7" s="63" t="e">
        <f>SUM('Pop Cibles'!AO:AO)+SUM('Pop Cibles'!AP:AP)+SUM('Pop Cibles'!AQ:AQ)</f>
        <v>#REF!</v>
      </c>
      <c r="H7" s="348"/>
      <c r="I7" s="63" t="e">
        <f>SUM('Pop Cibles'!BB:BB)+SUM('Pop Cibles'!BC:BC)+SUM('Pop Cibles'!BD:BD)</f>
        <v>#REF!</v>
      </c>
      <c r="J7" s="348"/>
      <c r="K7" s="63" t="e">
        <f>SUM('Pop Cibles'!BS:BS)+SUM('Pop Cibles'!BT:BT)+SUM('Pop Cibles'!BU:BU)</f>
        <v>#REF!</v>
      </c>
      <c r="L7" s="348"/>
    </row>
    <row r="8" spans="1:14">
      <c r="A8" s="64"/>
      <c r="B8" s="65" t="s">
        <v>201</v>
      </c>
      <c r="C8" s="62" t="e">
        <f>SUM('Pop Cibles'!N:N)+SUM('Pop Cibles'!O:O)+SUM('Pop Cibles'!P:P)+SUM('Pop Cibles'!Q:Q)</f>
        <v>#REF!</v>
      </c>
      <c r="D8" s="348"/>
      <c r="E8" s="63" t="e">
        <f>SUM('Pop Cibles'!AC:AC)+SUM('Pop Cibles'!AD:AD)+SUM('Pop Cibles'!AE:AE)+SUM('Pop Cibles'!AF:AF)</f>
        <v>#REF!</v>
      </c>
      <c r="F8" s="348"/>
      <c r="G8" s="63" t="e">
        <f>SUM('Pop Cibles'!AR:AR)+SUM('Pop Cibles'!AS:AS)+SUM('Pop Cibles'!AT:AT)+SUM('Pop Cibles'!AU:AU)</f>
        <v>#REF!</v>
      </c>
      <c r="H8" s="348"/>
      <c r="I8" s="63" t="e">
        <f>SUM('Pop Cibles'!BG:BG)+SUM('Pop Cibles'!BH:BH)+SUM('Pop Cibles'!BI:BI)+SUM('Pop Cibles'!BJ:BJ)</f>
        <v>#REF!</v>
      </c>
      <c r="J8" s="348"/>
      <c r="K8" s="63" t="e">
        <f>SUM('Pop Cibles'!BV:BV)+SUM('Pop Cibles'!BW:BW)+SUM('Pop Cibles'!BX:BX)+SUM('Pop Cibles'!BY:BY)</f>
        <v>#REF!</v>
      </c>
      <c r="L8" s="348"/>
    </row>
    <row r="9" spans="1:14">
      <c r="A9" s="349" t="s">
        <v>54</v>
      </c>
      <c r="B9" s="349"/>
      <c r="C9" s="62" t="e">
        <f>SUM(C4:C8)</f>
        <v>#REF!</v>
      </c>
      <c r="D9" s="66" t="e">
        <f t="shared" ref="D9:L9" si="0">SUM(D4:D8)</f>
        <v>#REF!</v>
      </c>
      <c r="E9" s="63" t="e">
        <f t="shared" si="0"/>
        <v>#REF!</v>
      </c>
      <c r="F9" s="63" t="e">
        <f t="shared" si="0"/>
        <v>#REF!</v>
      </c>
      <c r="G9" s="63" t="e">
        <f t="shared" si="0"/>
        <v>#REF!</v>
      </c>
      <c r="H9" s="63" t="e">
        <f t="shared" si="0"/>
        <v>#REF!</v>
      </c>
      <c r="I9" s="63" t="e">
        <f t="shared" si="0"/>
        <v>#REF!</v>
      </c>
      <c r="J9" s="63" t="e">
        <f t="shared" si="0"/>
        <v>#REF!</v>
      </c>
      <c r="K9" s="63" t="e">
        <f t="shared" si="0"/>
        <v>#REF!</v>
      </c>
      <c r="L9" s="63" t="e">
        <f t="shared" si="0"/>
        <v>#REF!</v>
      </c>
    </row>
    <row r="10" spans="1:14" s="48" customFormat="1" ht="12.75" customHeight="1">
      <c r="A10" s="67"/>
      <c r="B10" s="50"/>
      <c r="C10" s="68"/>
      <c r="D10" s="69"/>
      <c r="E10" s="68"/>
      <c r="F10" s="68"/>
      <c r="G10" s="68"/>
      <c r="H10" s="68"/>
      <c r="I10" s="68"/>
      <c r="J10" s="68"/>
      <c r="K10" s="68"/>
      <c r="L10" s="68"/>
    </row>
    <row r="11" spans="1:14" s="49" customFormat="1" ht="18" customHeight="1">
      <c r="A11" s="70" t="s">
        <v>202</v>
      </c>
      <c r="B11" s="70"/>
      <c r="C11" s="71"/>
      <c r="D11" s="72"/>
      <c r="E11" s="71"/>
      <c r="F11" s="71"/>
      <c r="G11" s="71"/>
      <c r="H11" s="71"/>
      <c r="I11" s="71"/>
      <c r="J11" s="70"/>
      <c r="K11" s="70"/>
      <c r="L11" s="70"/>
      <c r="M11" s="70"/>
      <c r="N11" s="70"/>
    </row>
    <row r="12" spans="1:14" s="49" customFormat="1" ht="15" customHeight="1">
      <c r="A12" s="350" t="s">
        <v>203</v>
      </c>
      <c r="B12" s="350"/>
      <c r="C12" s="351">
        <f>'Page d''accueil'!F5</f>
        <v>2018</v>
      </c>
      <c r="D12" s="351"/>
      <c r="E12" s="351">
        <f>C12+1</f>
        <v>2019</v>
      </c>
      <c r="F12" s="351"/>
      <c r="G12" s="351">
        <f>E12+1</f>
        <v>2020</v>
      </c>
      <c r="H12" s="351"/>
      <c r="I12" s="351">
        <f>G12+1</f>
        <v>2021</v>
      </c>
      <c r="J12" s="349"/>
      <c r="K12" s="349">
        <f>I12+1</f>
        <v>2022</v>
      </c>
      <c r="L12" s="349"/>
      <c r="M12" s="349" t="s">
        <v>204</v>
      </c>
      <c r="N12" s="360"/>
    </row>
    <row r="13" spans="1:14" s="49" customFormat="1">
      <c r="A13" s="350"/>
      <c r="B13" s="350"/>
      <c r="C13" s="53" t="s">
        <v>205</v>
      </c>
      <c r="D13" s="73" t="s">
        <v>124</v>
      </c>
      <c r="E13" s="53" t="s">
        <v>205</v>
      </c>
      <c r="F13" s="73" t="s">
        <v>124</v>
      </c>
      <c r="G13" s="53" t="s">
        <v>205</v>
      </c>
      <c r="H13" s="73" t="s">
        <v>124</v>
      </c>
      <c r="I13" s="53" t="s">
        <v>205</v>
      </c>
      <c r="J13" s="73" t="s">
        <v>124</v>
      </c>
      <c r="K13" s="53" t="s">
        <v>205</v>
      </c>
      <c r="L13" s="73" t="s">
        <v>124</v>
      </c>
      <c r="M13" s="53" t="s">
        <v>205</v>
      </c>
      <c r="N13" s="73" t="s">
        <v>124</v>
      </c>
    </row>
    <row r="14" spans="1:14" ht="15" customHeight="1">
      <c r="A14" s="353" t="s">
        <v>206</v>
      </c>
      <c r="B14" s="57" t="str">
        <f>Financement!B4</f>
        <v>Cartographie</v>
      </c>
      <c r="C14" s="58">
        <f>Financement!C4</f>
        <v>0</v>
      </c>
      <c r="D14" s="58">
        <f>Financement!K4</f>
        <v>0</v>
      </c>
      <c r="E14" s="58">
        <f>Financement!L4</f>
        <v>0</v>
      </c>
      <c r="F14" s="58">
        <f>Financement!T4</f>
        <v>0</v>
      </c>
      <c r="G14" s="58">
        <f>Financement!U4</f>
        <v>0</v>
      </c>
      <c r="H14" s="58">
        <f>Financement!AC4</f>
        <v>0</v>
      </c>
      <c r="I14" s="58">
        <f>Financement!AD4</f>
        <v>0</v>
      </c>
      <c r="J14" s="58">
        <f>Financement!AL4</f>
        <v>0</v>
      </c>
      <c r="K14" s="58">
        <f>Financement!AM4</f>
        <v>0</v>
      </c>
      <c r="L14" s="58">
        <f>Financement!AU4</f>
        <v>0</v>
      </c>
      <c r="M14" s="62">
        <f>C14+E14+G14+I14+K14</f>
        <v>0</v>
      </c>
      <c r="N14" s="62">
        <f>D14+F14+H14+J14+L14</f>
        <v>0</v>
      </c>
    </row>
    <row r="15" spans="1:14">
      <c r="A15" s="353"/>
      <c r="B15" s="57" t="str">
        <f>Financement!B5</f>
        <v>Administration de médicaments en campagne de masse</v>
      </c>
      <c r="C15" s="58">
        <f>Financement!C5</f>
        <v>0</v>
      </c>
      <c r="D15" s="58">
        <f>Financement!K5</f>
        <v>0</v>
      </c>
      <c r="E15" s="58">
        <f>Financement!L5</f>
        <v>0</v>
      </c>
      <c r="F15" s="58">
        <f>Financement!T5</f>
        <v>0</v>
      </c>
      <c r="G15" s="58">
        <f>Financement!U5</f>
        <v>0</v>
      </c>
      <c r="H15" s="58">
        <f>Financement!AC5</f>
        <v>0</v>
      </c>
      <c r="I15" s="58">
        <f>Financement!AD5</f>
        <v>0</v>
      </c>
      <c r="J15" s="58">
        <f>Financement!AL5</f>
        <v>0</v>
      </c>
      <c r="K15" s="58">
        <f>Financement!AM5</f>
        <v>0</v>
      </c>
      <c r="L15" s="58">
        <f>Financement!AU5</f>
        <v>0</v>
      </c>
      <c r="M15" s="62">
        <f t="shared" ref="M15:N19" si="1">C15+E15+G15+I15+K15</f>
        <v>0</v>
      </c>
      <c r="N15" s="62">
        <f t="shared" si="1"/>
        <v>0</v>
      </c>
    </row>
    <row r="16" spans="1:14">
      <c r="A16" s="353"/>
      <c r="B16" s="57" t="str">
        <f>Financement!B6</f>
        <v>Acquisition de médicaments (PC)</v>
      </c>
      <c r="C16" s="58" t="e">
        <f>Financement!C6</f>
        <v>#REF!</v>
      </c>
      <c r="D16" s="58" t="e">
        <f>Financement!K6</f>
        <v>#REF!</v>
      </c>
      <c r="E16" s="58" t="e">
        <f>Financement!L6</f>
        <v>#REF!</v>
      </c>
      <c r="F16" s="58" t="e">
        <f>Financement!T6</f>
        <v>#REF!</v>
      </c>
      <c r="G16" s="58" t="e">
        <f>Financement!U6</f>
        <v>#REF!</v>
      </c>
      <c r="H16" s="58" t="e">
        <f>Financement!AC6</f>
        <v>#REF!</v>
      </c>
      <c r="I16" s="58" t="e">
        <f>Financement!AD6</f>
        <v>#REF!</v>
      </c>
      <c r="J16" s="58" t="e">
        <f>Financement!AL6</f>
        <v>#REF!</v>
      </c>
      <c r="K16" s="58" t="e">
        <f>Financement!AM6</f>
        <v>#REF!</v>
      </c>
      <c r="L16" s="58" t="e">
        <f>Financement!AU6</f>
        <v>#REF!</v>
      </c>
      <c r="M16" s="62" t="e">
        <f t="shared" si="1"/>
        <v>#REF!</v>
      </c>
      <c r="N16" s="62" t="e">
        <f t="shared" si="1"/>
        <v>#REF!</v>
      </c>
    </row>
    <row r="17" spans="1:14">
      <c r="A17" s="353"/>
      <c r="B17" s="57" t="str">
        <f>Financement!B7</f>
        <v>Acquisition de médicaments (CM)</v>
      </c>
      <c r="C17" s="58">
        <f>Financement!C7</f>
        <v>0</v>
      </c>
      <c r="D17" s="58">
        <f>Financement!K7</f>
        <v>0</v>
      </c>
      <c r="E17" s="58">
        <f>Financement!L7</f>
        <v>0</v>
      </c>
      <c r="F17" s="58">
        <f>Financement!T7</f>
        <v>0</v>
      </c>
      <c r="G17" s="58">
        <f>Financement!U7</f>
        <v>0</v>
      </c>
      <c r="H17" s="58">
        <f>Financement!AC7</f>
        <v>0</v>
      </c>
      <c r="I17" s="58">
        <f>Financement!AD7</f>
        <v>0</v>
      </c>
      <c r="J17" s="58">
        <f>Financement!AL7</f>
        <v>0</v>
      </c>
      <c r="K17" s="58">
        <f>Financement!AM7</f>
        <v>0</v>
      </c>
      <c r="L17" s="58">
        <f>Financement!AU7</f>
        <v>0</v>
      </c>
      <c r="M17" s="62">
        <f t="shared" si="1"/>
        <v>0</v>
      </c>
      <c r="N17" s="62">
        <f t="shared" si="1"/>
        <v>0</v>
      </c>
    </row>
    <row r="18" spans="1:14">
      <c r="A18" s="353"/>
      <c r="B18" s="57" t="str">
        <f>Financement!B8</f>
        <v>Gestion de cas / morbidité et prévention de l'invalidité</v>
      </c>
      <c r="C18" s="58">
        <f>Financement!C8</f>
        <v>0</v>
      </c>
      <c r="D18" s="58">
        <f>Financement!K8</f>
        <v>0</v>
      </c>
      <c r="E18" s="58">
        <f>Financement!L8</f>
        <v>0</v>
      </c>
      <c r="F18" s="58">
        <f>Financement!T8</f>
        <v>0</v>
      </c>
      <c r="G18" s="58">
        <f>Financement!U8</f>
        <v>0</v>
      </c>
      <c r="H18" s="58">
        <f>Financement!AC8</f>
        <v>0</v>
      </c>
      <c r="I18" s="58">
        <f>Financement!AD8</f>
        <v>0</v>
      </c>
      <c r="J18" s="58">
        <f>Financement!AL8</f>
        <v>0</v>
      </c>
      <c r="K18" s="58">
        <f>Financement!AM8</f>
        <v>0</v>
      </c>
      <c r="L18" s="58">
        <f>Financement!AU8</f>
        <v>0</v>
      </c>
      <c r="M18" s="62">
        <f t="shared" si="1"/>
        <v>0</v>
      </c>
      <c r="N18" s="62">
        <f t="shared" si="1"/>
        <v>0</v>
      </c>
    </row>
    <row r="19" spans="1:14">
      <c r="A19" s="353"/>
      <c r="B19" s="57" t="str">
        <f>Financement!B9</f>
        <v>Vecteur et mesure environnementale</v>
      </c>
      <c r="C19" s="58">
        <f>Financement!C9</f>
        <v>0</v>
      </c>
      <c r="D19" s="58">
        <f>Financement!K9</f>
        <v>0</v>
      </c>
      <c r="E19" s="58">
        <f>Financement!L9</f>
        <v>0</v>
      </c>
      <c r="F19" s="58">
        <f>Financement!T9</f>
        <v>0</v>
      </c>
      <c r="G19" s="58">
        <f>Financement!U9</f>
        <v>0</v>
      </c>
      <c r="H19" s="58">
        <f>Financement!AC9</f>
        <v>0</v>
      </c>
      <c r="I19" s="58">
        <f>Financement!AD9</f>
        <v>0</v>
      </c>
      <c r="J19" s="58">
        <f>Financement!AL9</f>
        <v>0</v>
      </c>
      <c r="K19" s="58">
        <f>Financement!AM9</f>
        <v>0</v>
      </c>
      <c r="L19" s="58">
        <f>Financement!AU9</f>
        <v>0</v>
      </c>
      <c r="M19" s="62">
        <f t="shared" si="1"/>
        <v>0</v>
      </c>
      <c r="N19" s="62">
        <f t="shared" si="1"/>
        <v>0</v>
      </c>
    </row>
    <row r="20" spans="1:14">
      <c r="A20" s="353"/>
      <c r="B20" s="57" t="str">
        <f>Financement!B10</f>
        <v>Renforcement des capacités aux QG nationaux</v>
      </c>
      <c r="C20" s="58">
        <f>Financement!C10</f>
        <v>0</v>
      </c>
      <c r="D20" s="58">
        <f>Financement!K10</f>
        <v>0</v>
      </c>
      <c r="E20" s="58">
        <f>Financement!L10</f>
        <v>0</v>
      </c>
      <c r="F20" s="58">
        <f>Financement!T10</f>
        <v>0</v>
      </c>
      <c r="G20" s="58">
        <f>Financement!U10</f>
        <v>0</v>
      </c>
      <c r="H20" s="58">
        <f>Financement!AC10</f>
        <v>0</v>
      </c>
      <c r="I20" s="58">
        <f>Financement!AD10</f>
        <v>0</v>
      </c>
      <c r="J20" s="58">
        <f>Financement!AL10</f>
        <v>0</v>
      </c>
      <c r="K20" s="58">
        <f>Financement!AM10</f>
        <v>0</v>
      </c>
      <c r="L20" s="58">
        <f>Financement!AU10</f>
        <v>0</v>
      </c>
      <c r="M20" s="62">
        <f>C20+E20+G20+I20+K20</f>
        <v>0</v>
      </c>
      <c r="N20" s="62">
        <f>D20+F20+H20+J20+L20</f>
        <v>0</v>
      </c>
    </row>
    <row r="21" spans="1:14">
      <c r="A21" s="353"/>
      <c r="B21" s="57" t="str">
        <f>Financement!B11</f>
        <v>Infrastructure et logistique</v>
      </c>
      <c r="C21" s="58">
        <f>Financement!C11</f>
        <v>0</v>
      </c>
      <c r="D21" s="58">
        <f>Financement!K11</f>
        <v>0</v>
      </c>
      <c r="E21" s="58">
        <f>Financement!L11</f>
        <v>0</v>
      </c>
      <c r="F21" s="58">
        <f>Financement!T11</f>
        <v>0</v>
      </c>
      <c r="G21" s="58">
        <f>Financement!U11</f>
        <v>0</v>
      </c>
      <c r="H21" s="58">
        <f>Financement!AC11</f>
        <v>0</v>
      </c>
      <c r="I21" s="58">
        <f>Financement!AD11</f>
        <v>0</v>
      </c>
      <c r="J21" s="58">
        <f>Financement!AL11</f>
        <v>0</v>
      </c>
      <c r="K21" s="58">
        <f>Financement!AM11</f>
        <v>0</v>
      </c>
      <c r="L21" s="58">
        <f>Financement!AU11</f>
        <v>0</v>
      </c>
      <c r="M21" s="62">
        <f>C21+E21+G21+I21+K21</f>
        <v>0</v>
      </c>
      <c r="N21" s="62">
        <f>D21+F21+H21+J21+L21</f>
        <v>0</v>
      </c>
    </row>
    <row r="22" spans="1:14">
      <c r="A22" s="353" t="s">
        <v>207</v>
      </c>
      <c r="B22" s="57" t="str">
        <f>Financement!B12</f>
        <v>Planification stratégique et opérationnelle</v>
      </c>
      <c r="C22" s="58">
        <f>Financement!C12</f>
        <v>0</v>
      </c>
      <c r="D22" s="58">
        <f>Financement!K12</f>
        <v>0</v>
      </c>
      <c r="E22" s="58">
        <f>Financement!L12</f>
        <v>0</v>
      </c>
      <c r="F22" s="58">
        <f>Financement!T12</f>
        <v>0</v>
      </c>
      <c r="G22" s="58">
        <f>Financement!U12</f>
        <v>0</v>
      </c>
      <c r="H22" s="58">
        <f>Financement!AC12</f>
        <v>0</v>
      </c>
      <c r="I22" s="58">
        <f>Financement!AD12</f>
        <v>0</v>
      </c>
      <c r="J22" s="58">
        <f>Financement!AL12</f>
        <v>0</v>
      </c>
      <c r="K22" s="58">
        <f>Financement!AM12</f>
        <v>0</v>
      </c>
      <c r="L22" s="58">
        <f>Financement!AU12</f>
        <v>0</v>
      </c>
      <c r="M22" s="62">
        <f t="shared" ref="M22:N32" si="2">C22+E22+G22+I22+K22</f>
        <v>0</v>
      </c>
      <c r="N22" s="62">
        <f t="shared" si="2"/>
        <v>0</v>
      </c>
    </row>
    <row r="23" spans="1:14">
      <c r="A23" s="353"/>
      <c r="B23" s="57" t="str">
        <f>Financement!B13</f>
        <v>Initiatives de mobilisation de ressources</v>
      </c>
      <c r="C23" s="58">
        <f>Financement!C13</f>
        <v>0</v>
      </c>
      <c r="D23" s="58">
        <f>Financement!K13</f>
        <v>0</v>
      </c>
      <c r="E23" s="58">
        <f>Financement!L13</f>
        <v>0</v>
      </c>
      <c r="F23" s="58">
        <f>Financement!T13</f>
        <v>0</v>
      </c>
      <c r="G23" s="58">
        <f>Financement!U13</f>
        <v>0</v>
      </c>
      <c r="H23" s="58">
        <f>Financement!AC13</f>
        <v>0</v>
      </c>
      <c r="I23" s="58">
        <f>Financement!AD13</f>
        <v>0</v>
      </c>
      <c r="J23" s="58">
        <f>Financement!AL13</f>
        <v>0</v>
      </c>
      <c r="K23" s="58">
        <f>Financement!AM13</f>
        <v>0</v>
      </c>
      <c r="L23" s="58">
        <f>Financement!AU13</f>
        <v>0</v>
      </c>
      <c r="M23" s="62">
        <f t="shared" si="2"/>
        <v>0</v>
      </c>
      <c r="N23" s="62">
        <f t="shared" si="2"/>
        <v>0</v>
      </c>
    </row>
    <row r="24" spans="1:14">
      <c r="A24" s="353"/>
      <c r="B24" s="57" t="str">
        <f>Financement!B14</f>
        <v>Intégration et liens des plans et des budgets</v>
      </c>
      <c r="C24" s="58">
        <f>Financement!C14</f>
        <v>0</v>
      </c>
      <c r="D24" s="58">
        <f>Financement!K14</f>
        <v>0</v>
      </c>
      <c r="E24" s="58">
        <f>Financement!L14</f>
        <v>0</v>
      </c>
      <c r="F24" s="58">
        <f>Financement!T14</f>
        <v>0</v>
      </c>
      <c r="G24" s="58">
        <f>Financement!U14</f>
        <v>0</v>
      </c>
      <c r="H24" s="58">
        <f>Financement!AC14</f>
        <v>0</v>
      </c>
      <c r="I24" s="58">
        <f>Financement!AD14</f>
        <v>0</v>
      </c>
      <c r="J24" s="58">
        <f>Financement!AL14</f>
        <v>0</v>
      </c>
      <c r="K24" s="58">
        <f>Financement!AM14</f>
        <v>0</v>
      </c>
      <c r="L24" s="58">
        <f>Financement!AU14</f>
        <v>0</v>
      </c>
      <c r="M24" s="62">
        <f t="shared" si="2"/>
        <v>0</v>
      </c>
      <c r="N24" s="62">
        <f t="shared" si="2"/>
        <v>0</v>
      </c>
    </row>
    <row r="25" spans="1:14" s="50" customFormat="1">
      <c r="A25" s="353"/>
      <c r="B25" s="57" t="str">
        <f>Financement!B15</f>
        <v>Mise à jour des politiques, des lignes directrices et des outils</v>
      </c>
      <c r="C25" s="58">
        <f>Financement!C15</f>
        <v>0</v>
      </c>
      <c r="D25" s="58">
        <f>Financement!K15</f>
        <v>0</v>
      </c>
      <c r="E25" s="58">
        <f>Financement!L15</f>
        <v>0</v>
      </c>
      <c r="F25" s="58">
        <f>Financement!T15</f>
        <v>0</v>
      </c>
      <c r="G25" s="58">
        <f>Financement!U15</f>
        <v>0</v>
      </c>
      <c r="H25" s="58">
        <f>Financement!AC15</f>
        <v>0</v>
      </c>
      <c r="I25" s="58">
        <f>Financement!AD15</f>
        <v>0</v>
      </c>
      <c r="J25" s="58">
        <f>Financement!AL15</f>
        <v>0</v>
      </c>
      <c r="K25" s="58">
        <f>Financement!AM15</f>
        <v>0</v>
      </c>
      <c r="L25" s="58">
        <f>Financement!AU15</f>
        <v>0</v>
      </c>
      <c r="M25" s="62">
        <f t="shared" si="2"/>
        <v>0</v>
      </c>
      <c r="N25" s="62">
        <f t="shared" si="2"/>
        <v>0</v>
      </c>
    </row>
    <row r="26" spans="1:14" s="50" customFormat="1">
      <c r="A26" s="354" t="s">
        <v>208</v>
      </c>
      <c r="B26" s="57" t="str">
        <f>Financement!B16</f>
        <v>Mécanismes de coordination</v>
      </c>
      <c r="C26" s="58">
        <f>Financement!C16</f>
        <v>0</v>
      </c>
      <c r="D26" s="58">
        <f>Financement!K16</f>
        <v>0</v>
      </c>
      <c r="E26" s="58">
        <f>Financement!L16</f>
        <v>0</v>
      </c>
      <c r="F26" s="58">
        <f>Financement!T16</f>
        <v>0</v>
      </c>
      <c r="G26" s="58">
        <f>Financement!U16</f>
        <v>0</v>
      </c>
      <c r="H26" s="58">
        <f>Financement!AC16</f>
        <v>0</v>
      </c>
      <c r="I26" s="58">
        <f>Financement!AD16</f>
        <v>0</v>
      </c>
      <c r="J26" s="58">
        <f>Financement!AL16</f>
        <v>0</v>
      </c>
      <c r="K26" s="58">
        <f>Financement!AM16</f>
        <v>0</v>
      </c>
      <c r="L26" s="58">
        <f>Financement!AU16</f>
        <v>0</v>
      </c>
      <c r="M26" s="62">
        <f t="shared" ref="M26:N29" si="3">C26+E26+G26+I26+K26</f>
        <v>0</v>
      </c>
      <c r="N26" s="62">
        <f t="shared" si="3"/>
        <v>0</v>
      </c>
    </row>
    <row r="27" spans="1:14" ht="15" customHeight="1">
      <c r="A27" s="354"/>
      <c r="B27" s="57" t="str">
        <f>Financement!B17</f>
        <v>Renforcer et favoriser les partenariats</v>
      </c>
      <c r="C27" s="58">
        <f>Financement!C17</f>
        <v>0</v>
      </c>
      <c r="D27" s="58">
        <f>Financement!K17</f>
        <v>0</v>
      </c>
      <c r="E27" s="58">
        <f>Financement!L17</f>
        <v>0</v>
      </c>
      <c r="F27" s="58">
        <f>Financement!T17</f>
        <v>0</v>
      </c>
      <c r="G27" s="58">
        <f>Financement!U17</f>
        <v>0</v>
      </c>
      <c r="H27" s="58">
        <f>Financement!AC17</f>
        <v>0</v>
      </c>
      <c r="I27" s="58">
        <f>Financement!AD17</f>
        <v>0</v>
      </c>
      <c r="J27" s="58">
        <f>Financement!AL17</f>
        <v>0</v>
      </c>
      <c r="K27" s="58">
        <f>Financement!AM17</f>
        <v>0</v>
      </c>
      <c r="L27" s="58">
        <f>Financement!AU17</f>
        <v>0</v>
      </c>
      <c r="M27" s="62">
        <f t="shared" si="3"/>
        <v>0</v>
      </c>
      <c r="N27" s="62">
        <f t="shared" si="3"/>
        <v>0</v>
      </c>
    </row>
    <row r="28" spans="1:14">
      <c r="A28" s="354"/>
      <c r="B28" s="57" t="str">
        <f>Financement!B18</f>
        <v>Réunions d'examen de haut niveau</v>
      </c>
      <c r="C28" s="58">
        <f>Financement!C18</f>
        <v>0</v>
      </c>
      <c r="D28" s="58">
        <f>Financement!K18</f>
        <v>0</v>
      </c>
      <c r="E28" s="58">
        <f>Financement!L18</f>
        <v>0</v>
      </c>
      <c r="F28" s="58">
        <f>Financement!T18</f>
        <v>0</v>
      </c>
      <c r="G28" s="58">
        <f>Financement!U18</f>
        <v>0</v>
      </c>
      <c r="H28" s="58">
        <f>Financement!AC18</f>
        <v>0</v>
      </c>
      <c r="I28" s="58">
        <f>Financement!AD18</f>
        <v>0</v>
      </c>
      <c r="J28" s="58">
        <f>Financement!AL18</f>
        <v>0</v>
      </c>
      <c r="K28" s="58">
        <f>Financement!AM18</f>
        <v>0</v>
      </c>
      <c r="L28" s="58">
        <f>Financement!AU18</f>
        <v>0</v>
      </c>
      <c r="M28" s="62">
        <f t="shared" si="3"/>
        <v>0</v>
      </c>
      <c r="N28" s="62">
        <f t="shared" si="3"/>
        <v>0</v>
      </c>
    </row>
    <row r="29" spans="1:14">
      <c r="A29" s="354"/>
      <c r="B29" s="57" t="str">
        <f>Financement!B19</f>
        <v>Plaidoyer et communication</v>
      </c>
      <c r="C29" s="58">
        <f>Financement!C19</f>
        <v>0</v>
      </c>
      <c r="D29" s="58">
        <f>Financement!K19</f>
        <v>0</v>
      </c>
      <c r="E29" s="58">
        <f>Financement!L19</f>
        <v>0</v>
      </c>
      <c r="F29" s="58">
        <f>Financement!T19</f>
        <v>0</v>
      </c>
      <c r="G29" s="58">
        <f>Financement!U19</f>
        <v>0</v>
      </c>
      <c r="H29" s="58">
        <f>Financement!AC19</f>
        <v>0</v>
      </c>
      <c r="I29" s="58">
        <f>Financement!AD19</f>
        <v>0</v>
      </c>
      <c r="J29" s="58">
        <f>Financement!AL19</f>
        <v>0</v>
      </c>
      <c r="K29" s="58">
        <f>Financement!AM19</f>
        <v>0</v>
      </c>
      <c r="L29" s="58">
        <f>Financement!AU19</f>
        <v>0</v>
      </c>
      <c r="M29" s="62">
        <f t="shared" si="3"/>
        <v>0</v>
      </c>
      <c r="N29" s="62">
        <f t="shared" si="3"/>
        <v>0</v>
      </c>
    </row>
    <row r="30" spans="1:14" s="50" customFormat="1">
      <c r="A30" s="353" t="s">
        <v>209</v>
      </c>
      <c r="B30" s="57" t="str">
        <f>Financement!B20</f>
        <v>Surveillance, supervision et évaluation</v>
      </c>
      <c r="C30" s="58">
        <f>Financement!C20</f>
        <v>0</v>
      </c>
      <c r="D30" s="58">
        <f>Financement!K20</f>
        <v>0</v>
      </c>
      <c r="E30" s="58">
        <f>Financement!L20</f>
        <v>0</v>
      </c>
      <c r="F30" s="58">
        <f>Financement!T20</f>
        <v>0</v>
      </c>
      <c r="G30" s="58">
        <f>Financement!U20</f>
        <v>0</v>
      </c>
      <c r="H30" s="58">
        <f>Financement!AC20</f>
        <v>0</v>
      </c>
      <c r="I30" s="58">
        <f>Financement!AD20</f>
        <v>0</v>
      </c>
      <c r="J30" s="58">
        <f>Financement!AL20</f>
        <v>0</v>
      </c>
      <c r="K30" s="58">
        <f>Financement!AM20</f>
        <v>0</v>
      </c>
      <c r="L30" s="58">
        <f>Financement!AU20</f>
        <v>0</v>
      </c>
      <c r="M30" s="62">
        <f t="shared" si="2"/>
        <v>0</v>
      </c>
      <c r="N30" s="62">
        <f t="shared" si="2"/>
        <v>0</v>
      </c>
    </row>
    <row r="31" spans="1:14" ht="15" customHeight="1">
      <c r="A31" s="353"/>
      <c r="B31" s="57" t="str">
        <f>Financement!B21</f>
        <v>Surveillance des maladies, réponse et contrôle</v>
      </c>
      <c r="C31" s="58">
        <f>Financement!C21</f>
        <v>0</v>
      </c>
      <c r="D31" s="58">
        <f>Financement!K21</f>
        <v>0</v>
      </c>
      <c r="E31" s="58">
        <f>Financement!L21</f>
        <v>0</v>
      </c>
      <c r="F31" s="58">
        <f>Financement!T21</f>
        <v>0</v>
      </c>
      <c r="G31" s="58">
        <f>Financement!U21</f>
        <v>0</v>
      </c>
      <c r="H31" s="58">
        <f>Financement!AC21</f>
        <v>0</v>
      </c>
      <c r="I31" s="58">
        <f>Financement!AD21</f>
        <v>0</v>
      </c>
      <c r="J31" s="58">
        <f>Financement!AL21</f>
        <v>0</v>
      </c>
      <c r="K31" s="58">
        <f>Financement!AM21</f>
        <v>0</v>
      </c>
      <c r="L31" s="58">
        <f>Financement!AU21</f>
        <v>0</v>
      </c>
      <c r="M31" s="62">
        <f>C31+E31+G31+I31+K31</f>
        <v>0</v>
      </c>
      <c r="N31" s="62">
        <f>D31+F31+H31+J31+L31</f>
        <v>0</v>
      </c>
    </row>
    <row r="32" spans="1:14">
      <c r="A32" s="353"/>
      <c r="B32" s="57" t="str">
        <f>Financement!B22</f>
        <v>Recherche opérationnelle</v>
      </c>
      <c r="C32" s="58">
        <f>Financement!C22</f>
        <v>0</v>
      </c>
      <c r="D32" s="58">
        <f>Financement!K22</f>
        <v>0</v>
      </c>
      <c r="E32" s="58">
        <f>Financement!L22</f>
        <v>0</v>
      </c>
      <c r="F32" s="58">
        <f>Financement!T22</f>
        <v>0</v>
      </c>
      <c r="G32" s="58">
        <f>Financement!U22</f>
        <v>0</v>
      </c>
      <c r="H32" s="58">
        <f>Financement!AC22</f>
        <v>0</v>
      </c>
      <c r="I32" s="58">
        <f>Financement!AD22</f>
        <v>0</v>
      </c>
      <c r="J32" s="58">
        <f>Financement!AL22</f>
        <v>0</v>
      </c>
      <c r="K32" s="58">
        <f>Financement!AM22</f>
        <v>0</v>
      </c>
      <c r="L32" s="58">
        <f>Financement!AU22</f>
        <v>0</v>
      </c>
      <c r="M32" s="62">
        <f t="shared" si="2"/>
        <v>0</v>
      </c>
      <c r="N32" s="62">
        <f t="shared" si="2"/>
        <v>0</v>
      </c>
    </row>
    <row r="33" spans="1:14">
      <c r="A33" s="353"/>
      <c r="B33" s="57" t="str">
        <f>Financement!B23</f>
        <v>Gestion de données</v>
      </c>
      <c r="C33" s="58">
        <f>Financement!C23</f>
        <v>0</v>
      </c>
      <c r="D33" s="58">
        <f>Financement!K23</f>
        <v>0</v>
      </c>
      <c r="E33" s="58">
        <f>Financement!L23</f>
        <v>0</v>
      </c>
      <c r="F33" s="58">
        <f>Financement!T23</f>
        <v>0</v>
      </c>
      <c r="G33" s="58">
        <f>Financement!U23</f>
        <v>0</v>
      </c>
      <c r="H33" s="58">
        <f>Financement!AC23</f>
        <v>0</v>
      </c>
      <c r="I33" s="58">
        <f>Financement!AD23</f>
        <v>0</v>
      </c>
      <c r="J33" s="58">
        <f>Financement!AL23</f>
        <v>0</v>
      </c>
      <c r="K33" s="58">
        <f>Financement!AM23</f>
        <v>0</v>
      </c>
      <c r="L33" s="58">
        <f>Financement!AU23</f>
        <v>0</v>
      </c>
      <c r="M33" s="62">
        <f>C33+E33+G33+I33+K33</f>
        <v>0</v>
      </c>
      <c r="N33" s="62">
        <f>D33+F33+H33+J33+L33</f>
        <v>0</v>
      </c>
    </row>
    <row r="34" spans="1:14" s="51" customFormat="1">
      <c r="A34" s="359" t="s">
        <v>210</v>
      </c>
      <c r="B34" s="359"/>
      <c r="C34" s="74">
        <f t="shared" ref="C34:N34" si="4">SUM(C22:C33)</f>
        <v>0</v>
      </c>
      <c r="D34" s="74">
        <f t="shared" si="4"/>
        <v>0</v>
      </c>
      <c r="E34" s="74">
        <f t="shared" si="4"/>
        <v>0</v>
      </c>
      <c r="F34" s="74">
        <f t="shared" si="4"/>
        <v>0</v>
      </c>
      <c r="G34" s="74">
        <f t="shared" si="4"/>
        <v>0</v>
      </c>
      <c r="H34" s="74">
        <f t="shared" si="4"/>
        <v>0</v>
      </c>
      <c r="I34" s="74">
        <f t="shared" si="4"/>
        <v>0</v>
      </c>
      <c r="J34" s="74">
        <f t="shared" si="4"/>
        <v>0</v>
      </c>
      <c r="K34" s="74">
        <f t="shared" si="4"/>
        <v>0</v>
      </c>
      <c r="L34" s="74">
        <f t="shared" si="4"/>
        <v>0</v>
      </c>
      <c r="M34" s="74">
        <f t="shared" si="4"/>
        <v>0</v>
      </c>
      <c r="N34" s="74">
        <f t="shared" si="4"/>
        <v>0</v>
      </c>
    </row>
    <row r="35" spans="1:14" s="51" customFormat="1">
      <c r="A35" s="359" t="s">
        <v>211</v>
      </c>
      <c r="B35" s="359"/>
      <c r="C35" s="74" t="e">
        <f t="shared" ref="C35:N35" si="5">C34-C16-C17</f>
        <v>#REF!</v>
      </c>
      <c r="D35" s="74" t="e">
        <f t="shared" si="5"/>
        <v>#REF!</v>
      </c>
      <c r="E35" s="74" t="e">
        <f t="shared" si="5"/>
        <v>#REF!</v>
      </c>
      <c r="F35" s="74" t="e">
        <f t="shared" si="5"/>
        <v>#REF!</v>
      </c>
      <c r="G35" s="74" t="e">
        <f t="shared" si="5"/>
        <v>#REF!</v>
      </c>
      <c r="H35" s="74" t="e">
        <f t="shared" si="5"/>
        <v>#REF!</v>
      </c>
      <c r="I35" s="74" t="e">
        <f t="shared" si="5"/>
        <v>#REF!</v>
      </c>
      <c r="J35" s="74" t="e">
        <f t="shared" si="5"/>
        <v>#REF!</v>
      </c>
      <c r="K35" s="74" t="e">
        <f t="shared" si="5"/>
        <v>#REF!</v>
      </c>
      <c r="L35" s="74" t="e">
        <f t="shared" si="5"/>
        <v>#REF!</v>
      </c>
      <c r="M35" s="74" t="e">
        <f t="shared" si="5"/>
        <v>#REF!</v>
      </c>
      <c r="N35" s="74" t="e">
        <f t="shared" si="5"/>
        <v>#REF!</v>
      </c>
    </row>
    <row r="36" spans="1:14" ht="15" customHeight="1">
      <c r="A36" s="75"/>
      <c r="B36" s="49"/>
      <c r="C36" s="76"/>
      <c r="D36" s="77"/>
      <c r="E36" s="77"/>
      <c r="F36" s="77"/>
      <c r="G36" s="77"/>
      <c r="H36" s="77"/>
      <c r="I36" s="77"/>
      <c r="J36" s="77"/>
      <c r="K36" s="77"/>
      <c r="L36" s="77"/>
      <c r="M36" s="77"/>
      <c r="N36" s="77"/>
    </row>
    <row r="37" spans="1:14" ht="15" customHeight="1">
      <c r="A37" s="78" t="s">
        <v>212</v>
      </c>
      <c r="B37" s="49"/>
      <c r="C37" s="77"/>
      <c r="D37" s="77"/>
      <c r="E37" s="77"/>
      <c r="F37" s="77"/>
      <c r="G37" s="77"/>
      <c r="H37" s="77"/>
      <c r="I37" s="77"/>
      <c r="J37" s="77"/>
      <c r="K37" s="77"/>
      <c r="L37" s="77"/>
      <c r="M37" s="77"/>
      <c r="N37" s="77"/>
    </row>
    <row r="38" spans="1:14" ht="15" customHeight="1">
      <c r="A38" s="350" t="s">
        <v>116</v>
      </c>
      <c r="B38" s="350"/>
      <c r="C38" s="349">
        <f>C12</f>
        <v>2018</v>
      </c>
      <c r="D38" s="349"/>
      <c r="E38" s="349">
        <f>C38+1</f>
        <v>2019</v>
      </c>
      <c r="F38" s="349"/>
      <c r="G38" s="349">
        <f>E38+1</f>
        <v>2020</v>
      </c>
      <c r="H38" s="349"/>
      <c r="I38" s="349">
        <f>G38+1</f>
        <v>2021</v>
      </c>
      <c r="J38" s="349"/>
      <c r="K38" s="349">
        <f>I38+1</f>
        <v>2022</v>
      </c>
      <c r="L38" s="349"/>
      <c r="M38" s="349" t="s">
        <v>204</v>
      </c>
      <c r="N38" s="360"/>
    </row>
    <row r="39" spans="1:14" ht="15" customHeight="1">
      <c r="A39" s="350"/>
      <c r="B39" s="350"/>
      <c r="C39" s="53" t="s">
        <v>205</v>
      </c>
      <c r="D39" s="73" t="s">
        <v>124</v>
      </c>
      <c r="E39" s="53" t="s">
        <v>205</v>
      </c>
      <c r="F39" s="73" t="s">
        <v>124</v>
      </c>
      <c r="G39" s="53" t="s">
        <v>205</v>
      </c>
      <c r="H39" s="73" t="s">
        <v>124</v>
      </c>
      <c r="I39" s="53" t="s">
        <v>205</v>
      </c>
      <c r="J39" s="73" t="s">
        <v>124</v>
      </c>
      <c r="K39" s="53" t="s">
        <v>205</v>
      </c>
      <c r="L39" s="73" t="s">
        <v>124</v>
      </c>
      <c r="M39" s="53" t="s">
        <v>205</v>
      </c>
      <c r="N39" s="73" t="s">
        <v>124</v>
      </c>
    </row>
    <row r="40" spans="1:14" ht="15" customHeight="1">
      <c r="A40" s="355" t="s">
        <v>213</v>
      </c>
      <c r="B40" s="356"/>
      <c r="C40" s="58">
        <f>Financement!C29</f>
        <v>0</v>
      </c>
      <c r="D40" s="58">
        <f>Financement!K29</f>
        <v>0</v>
      </c>
      <c r="E40" s="58">
        <f>Financement!L29</f>
        <v>0</v>
      </c>
      <c r="F40" s="58">
        <f>Financement!T29</f>
        <v>0</v>
      </c>
      <c r="G40" s="58">
        <f>Financement!U29</f>
        <v>0</v>
      </c>
      <c r="H40" s="58">
        <f>Financement!AC29</f>
        <v>0</v>
      </c>
      <c r="I40" s="58">
        <f>Financement!AD29</f>
        <v>0</v>
      </c>
      <c r="J40" s="58">
        <f>Financement!AL29</f>
        <v>0</v>
      </c>
      <c r="K40" s="58">
        <f>Financement!AM29</f>
        <v>0</v>
      </c>
      <c r="L40" s="58">
        <f>Financement!AU29</f>
        <v>0</v>
      </c>
      <c r="M40" s="62">
        <f>C40+E40+G40+I40+K40</f>
        <v>0</v>
      </c>
      <c r="N40" s="62">
        <f>D40+F40+H40+J40+L40</f>
        <v>0</v>
      </c>
    </row>
    <row r="41" spans="1:14" ht="15.75" customHeight="1">
      <c r="A41" s="75"/>
      <c r="B41" s="49"/>
      <c r="C41" s="77"/>
      <c r="D41" s="77"/>
      <c r="E41" s="77"/>
      <c r="F41" s="77"/>
      <c r="G41" s="77"/>
      <c r="H41" s="77"/>
      <c r="I41" s="77"/>
      <c r="J41" s="77"/>
      <c r="K41" s="77"/>
      <c r="L41" s="77"/>
      <c r="M41" s="77"/>
      <c r="N41" s="77"/>
    </row>
    <row r="42" spans="1:14" ht="15.75">
      <c r="A42" s="357" t="s">
        <v>214</v>
      </c>
      <c r="B42" s="357"/>
      <c r="C42" s="357"/>
      <c r="D42" s="357"/>
      <c r="E42" s="357"/>
      <c r="F42" s="357"/>
      <c r="G42" s="357"/>
      <c r="H42" s="357"/>
      <c r="I42" s="357"/>
      <c r="J42" s="357"/>
      <c r="K42" s="357"/>
      <c r="L42" s="357"/>
      <c r="M42" s="357"/>
      <c r="N42" s="357"/>
    </row>
    <row r="43" spans="1:14" s="49" customFormat="1">
      <c r="A43" s="358" t="s">
        <v>154</v>
      </c>
      <c r="B43" s="358"/>
      <c r="C43" s="349">
        <f>C12</f>
        <v>2018</v>
      </c>
      <c r="D43" s="349"/>
      <c r="E43" s="349">
        <f>E12</f>
        <v>2019</v>
      </c>
      <c r="F43" s="349"/>
      <c r="G43" s="349">
        <f>G12</f>
        <v>2020</v>
      </c>
      <c r="H43" s="349"/>
      <c r="I43" s="349">
        <f>I12</f>
        <v>2021</v>
      </c>
      <c r="J43" s="349"/>
      <c r="K43" s="349">
        <f>K12</f>
        <v>2022</v>
      </c>
      <c r="L43" s="349"/>
      <c r="M43" s="349" t="s">
        <v>204</v>
      </c>
      <c r="N43" s="360"/>
    </row>
    <row r="44" spans="1:14">
      <c r="A44" s="358"/>
      <c r="B44" s="358"/>
      <c r="C44" s="53" t="s">
        <v>215</v>
      </c>
      <c r="D44" s="79" t="s">
        <v>124</v>
      </c>
      <c r="E44" s="53" t="s">
        <v>215</v>
      </c>
      <c r="F44" s="79" t="s">
        <v>124</v>
      </c>
      <c r="G44" s="53" t="s">
        <v>215</v>
      </c>
      <c r="H44" s="79" t="s">
        <v>124</v>
      </c>
      <c r="I44" s="53" t="s">
        <v>215</v>
      </c>
      <c r="J44" s="79" t="s">
        <v>124</v>
      </c>
      <c r="K44" s="53" t="s">
        <v>215</v>
      </c>
      <c r="L44" s="79" t="s">
        <v>124</v>
      </c>
      <c r="M44" s="53" t="s">
        <v>215</v>
      </c>
      <c r="N44" s="79" t="s">
        <v>124</v>
      </c>
    </row>
    <row r="45" spans="1:14">
      <c r="A45" s="352" t="s">
        <v>155</v>
      </c>
      <c r="B45" s="352"/>
      <c r="C45" s="80" t="e">
        <f>Financement!C34</f>
        <v>#REF!</v>
      </c>
      <c r="D45" s="80" t="e">
        <f>Financement!K34</f>
        <v>#REF!</v>
      </c>
      <c r="E45" s="80" t="e">
        <f>Financement!L34</f>
        <v>#REF!</v>
      </c>
      <c r="F45" s="80" t="e">
        <f>Financement!T34</f>
        <v>#REF!</v>
      </c>
      <c r="G45" s="80" t="e">
        <f>Financement!U34</f>
        <v>#REF!</v>
      </c>
      <c r="H45" s="80" t="e">
        <f>Financement!AC34</f>
        <v>#REF!</v>
      </c>
      <c r="I45" s="80" t="e">
        <f>Financement!AD34</f>
        <v>#REF!</v>
      </c>
      <c r="J45" s="80" t="e">
        <f>Financement!AL34</f>
        <v>#REF!</v>
      </c>
      <c r="K45" s="80" t="e">
        <f>Financement!AM34</f>
        <v>#REF!</v>
      </c>
      <c r="L45" s="80" t="e">
        <f>Financement!AU34</f>
        <v>#REF!</v>
      </c>
      <c r="M45" s="80" t="e">
        <f>C45+E45+G45+I45+K45</f>
        <v>#REF!</v>
      </c>
      <c r="N45" s="80" t="e">
        <f t="shared" ref="M45:N52" si="6">D45+F45+H45+J45+L45</f>
        <v>#REF!</v>
      </c>
    </row>
    <row r="46" spans="1:14">
      <c r="A46" s="352" t="s">
        <v>156</v>
      </c>
      <c r="B46" s="352"/>
      <c r="C46" s="80">
        <f>Financement!C35</f>
        <v>0</v>
      </c>
      <c r="D46" s="80">
        <f>Financement!K35</f>
        <v>0</v>
      </c>
      <c r="E46" s="80">
        <f>Financement!L35</f>
        <v>0</v>
      </c>
      <c r="F46" s="80">
        <f>Financement!T35</f>
        <v>0</v>
      </c>
      <c r="G46" s="80">
        <f>Financement!U35</f>
        <v>0</v>
      </c>
      <c r="H46" s="80">
        <f>Financement!AC35</f>
        <v>0</v>
      </c>
      <c r="I46" s="80">
        <f>Financement!AD35</f>
        <v>0</v>
      </c>
      <c r="J46" s="80">
        <f>Financement!AL35</f>
        <v>0</v>
      </c>
      <c r="K46" s="80">
        <f>Financement!AM35</f>
        <v>0</v>
      </c>
      <c r="L46" s="80">
        <f>Financement!AU35</f>
        <v>0</v>
      </c>
      <c r="M46" s="80">
        <f t="shared" si="6"/>
        <v>0</v>
      </c>
      <c r="N46" s="80">
        <f t="shared" si="6"/>
        <v>0</v>
      </c>
    </row>
    <row r="47" spans="1:14">
      <c r="A47" s="352" t="s">
        <v>157</v>
      </c>
      <c r="B47" s="352"/>
      <c r="C47" s="80" t="e">
        <f>Financement!C36</f>
        <v>#REF!</v>
      </c>
      <c r="D47" s="80" t="e">
        <f>Financement!K36</f>
        <v>#REF!</v>
      </c>
      <c r="E47" s="80" t="e">
        <f>Financement!L36</f>
        <v>#REF!</v>
      </c>
      <c r="F47" s="80" t="e">
        <f>Financement!T36</f>
        <v>#REF!</v>
      </c>
      <c r="G47" s="80" t="e">
        <f>Financement!U36</f>
        <v>#REF!</v>
      </c>
      <c r="H47" s="80" t="e">
        <f>Financement!AC36</f>
        <v>#REF!</v>
      </c>
      <c r="I47" s="80" t="e">
        <f>Financement!AD36</f>
        <v>#REF!</v>
      </c>
      <c r="J47" s="80" t="e">
        <f>Financement!AL36</f>
        <v>#REF!</v>
      </c>
      <c r="K47" s="80" t="e">
        <f>Financement!AM36</f>
        <v>#REF!</v>
      </c>
      <c r="L47" s="80" t="e">
        <f>Financement!AU36</f>
        <v>#REF!</v>
      </c>
      <c r="M47" s="80" t="e">
        <f t="shared" si="6"/>
        <v>#REF!</v>
      </c>
      <c r="N47" s="80" t="e">
        <f t="shared" si="6"/>
        <v>#REF!</v>
      </c>
    </row>
    <row r="48" spans="1:14">
      <c r="A48" s="352" t="s">
        <v>216</v>
      </c>
      <c r="B48" s="352"/>
      <c r="C48" s="80" t="e">
        <f>Financement!C37</f>
        <v>#REF!</v>
      </c>
      <c r="D48" s="80" t="e">
        <f>Financement!K37</f>
        <v>#REF!</v>
      </c>
      <c r="E48" s="80" t="e">
        <f>Financement!L37</f>
        <v>#REF!</v>
      </c>
      <c r="F48" s="80" t="e">
        <f>Financement!T37</f>
        <v>#REF!</v>
      </c>
      <c r="G48" s="80" t="e">
        <f>Financement!U37</f>
        <v>#REF!</v>
      </c>
      <c r="H48" s="80" t="e">
        <f>Financement!AC37</f>
        <v>#REF!</v>
      </c>
      <c r="I48" s="80" t="e">
        <f>Financement!AD37</f>
        <v>#REF!</v>
      </c>
      <c r="J48" s="80" t="e">
        <f>Financement!AL37</f>
        <v>#REF!</v>
      </c>
      <c r="K48" s="80" t="e">
        <f>Financement!AM37</f>
        <v>#REF!</v>
      </c>
      <c r="L48" s="80" t="e">
        <f>Financement!AU37</f>
        <v>#REF!</v>
      </c>
      <c r="M48" s="80" t="e">
        <f t="shared" si="6"/>
        <v>#REF!</v>
      </c>
      <c r="N48" s="80" t="e">
        <f t="shared" si="6"/>
        <v>#REF!</v>
      </c>
    </row>
    <row r="49" spans="1:14">
      <c r="A49" s="352" t="s">
        <v>216</v>
      </c>
      <c r="B49" s="352"/>
      <c r="C49" s="80" t="e">
        <f>Financement!C38</f>
        <v>#REF!</v>
      </c>
      <c r="D49" s="80" t="e">
        <f>Financement!K38</f>
        <v>#REF!</v>
      </c>
      <c r="E49" s="80" t="e">
        <f>Financement!L38</f>
        <v>#REF!</v>
      </c>
      <c r="F49" s="80" t="e">
        <f>Financement!T38</f>
        <v>#REF!</v>
      </c>
      <c r="G49" s="80" t="e">
        <f>Financement!U38</f>
        <v>#REF!</v>
      </c>
      <c r="H49" s="80" t="e">
        <f>Financement!AC38</f>
        <v>#REF!</v>
      </c>
      <c r="I49" s="80" t="e">
        <f>Financement!AD38</f>
        <v>#REF!</v>
      </c>
      <c r="J49" s="80" t="e">
        <f>Financement!AL38</f>
        <v>#REF!</v>
      </c>
      <c r="K49" s="80" t="e">
        <f>Financement!AM38</f>
        <v>#REF!</v>
      </c>
      <c r="L49" s="80" t="e">
        <f>Financement!AU38</f>
        <v>#REF!</v>
      </c>
      <c r="M49" s="80" t="e">
        <f>C49+E49+G49+I49+K49</f>
        <v>#REF!</v>
      </c>
      <c r="N49" s="80" t="e">
        <f>D49+F49+H49+J49+L49</f>
        <v>#REF!</v>
      </c>
    </row>
    <row r="50" spans="1:14">
      <c r="A50" s="352" t="s">
        <v>160</v>
      </c>
      <c r="B50" s="352"/>
      <c r="C50" s="80" t="e">
        <f>Financement!C39</f>
        <v>#REF!</v>
      </c>
      <c r="D50" s="80" t="e">
        <f>Financement!K39</f>
        <v>#REF!</v>
      </c>
      <c r="E50" s="80" t="e">
        <f>Financement!L39</f>
        <v>#REF!</v>
      </c>
      <c r="F50" s="80" t="e">
        <f>Financement!T39</f>
        <v>#REF!</v>
      </c>
      <c r="G50" s="80" t="e">
        <f>Financement!U39</f>
        <v>#REF!</v>
      </c>
      <c r="H50" s="80" t="e">
        <f>Financement!AC39</f>
        <v>#REF!</v>
      </c>
      <c r="I50" s="80" t="e">
        <f>Financement!AD39</f>
        <v>#REF!</v>
      </c>
      <c r="J50" s="80" t="e">
        <f>Financement!AL39</f>
        <v>#REF!</v>
      </c>
      <c r="K50" s="80" t="e">
        <f>Financement!AM39</f>
        <v>#REF!</v>
      </c>
      <c r="L50" s="80" t="e">
        <f>Financement!AU39</f>
        <v>#REF!</v>
      </c>
      <c r="M50" s="80" t="e">
        <f>C50+E50+G50+I50+K50</f>
        <v>#REF!</v>
      </c>
      <c r="N50" s="80" t="e">
        <f>D50+F50+H50+J50+L50</f>
        <v>#REF!</v>
      </c>
    </row>
    <row r="51" spans="1:14">
      <c r="A51" s="352" t="s">
        <v>161</v>
      </c>
      <c r="B51" s="352"/>
      <c r="C51" s="80" t="e">
        <f>Financement!C40</f>
        <v>#REF!</v>
      </c>
      <c r="D51" s="80" t="e">
        <f>Financement!K40</f>
        <v>#REF!</v>
      </c>
      <c r="E51" s="80" t="e">
        <f>Financement!L40</f>
        <v>#REF!</v>
      </c>
      <c r="F51" s="80" t="e">
        <f>Financement!T40</f>
        <v>#REF!</v>
      </c>
      <c r="G51" s="80" t="e">
        <f>Financement!U40</f>
        <v>#REF!</v>
      </c>
      <c r="H51" s="80" t="e">
        <f>Financement!AC40</f>
        <v>#REF!</v>
      </c>
      <c r="I51" s="80" t="e">
        <f>Financement!AD40</f>
        <v>#REF!</v>
      </c>
      <c r="J51" s="80" t="e">
        <f>Financement!AL40</f>
        <v>#REF!</v>
      </c>
      <c r="K51" s="80" t="e">
        <f>Financement!AM40</f>
        <v>#REF!</v>
      </c>
      <c r="L51" s="80" t="e">
        <f>Financement!AU40</f>
        <v>#REF!</v>
      </c>
      <c r="M51" s="80" t="e">
        <f t="shared" si="6"/>
        <v>#REF!</v>
      </c>
      <c r="N51" s="80" t="e">
        <f t="shared" si="6"/>
        <v>#REF!</v>
      </c>
    </row>
    <row r="52" spans="1:14">
      <c r="A52" s="352" t="s">
        <v>162</v>
      </c>
      <c r="B52" s="352"/>
      <c r="C52" s="80" t="e">
        <f>Financement!C41</f>
        <v>#REF!</v>
      </c>
      <c r="D52" s="80" t="e">
        <f>Financement!K41</f>
        <v>#REF!</v>
      </c>
      <c r="E52" s="80" t="e">
        <f>Financement!L41</f>
        <v>#REF!</v>
      </c>
      <c r="F52" s="80" t="e">
        <f>Financement!T41</f>
        <v>#REF!</v>
      </c>
      <c r="G52" s="80" t="e">
        <f>Financement!U41</f>
        <v>#REF!</v>
      </c>
      <c r="H52" s="80" t="e">
        <f>Financement!AC41</f>
        <v>#REF!</v>
      </c>
      <c r="I52" s="80" t="e">
        <f>Financement!AD41</f>
        <v>#REF!</v>
      </c>
      <c r="J52" s="80" t="e">
        <f>Financement!AL41</f>
        <v>#REF!</v>
      </c>
      <c r="K52" s="80" t="e">
        <f>Financement!AM41</f>
        <v>#REF!</v>
      </c>
      <c r="L52" s="80" t="e">
        <f>Financement!AU41</f>
        <v>#REF!</v>
      </c>
      <c r="M52" s="80" t="e">
        <f t="shared" si="6"/>
        <v>#REF!</v>
      </c>
      <c r="N52" s="80" t="e">
        <f t="shared" si="6"/>
        <v>#REF!</v>
      </c>
    </row>
    <row r="53" spans="1:14">
      <c r="A53" s="75"/>
      <c r="B53" s="50"/>
      <c r="C53" s="81"/>
      <c r="D53" s="81"/>
      <c r="E53" s="81"/>
      <c r="F53" s="81"/>
      <c r="G53" s="81"/>
      <c r="H53" s="81"/>
      <c r="I53" s="81"/>
      <c r="J53" s="81"/>
      <c r="K53" s="81"/>
      <c r="L53" s="81"/>
      <c r="M53" s="81"/>
      <c r="N53" s="81"/>
    </row>
    <row r="55" spans="1:14">
      <c r="C55" s="82"/>
    </row>
    <row r="56" spans="1:14">
      <c r="C56" s="82"/>
    </row>
    <row r="57" spans="1:14">
      <c r="C57" s="82"/>
    </row>
    <row r="58" spans="1:14">
      <c r="C58" s="82"/>
    </row>
    <row r="59" spans="1:14">
      <c r="C59" s="82"/>
    </row>
  </sheetData>
  <sheetProtection formatCells="0" formatColumns="0" formatRows="0"/>
  <mergeCells count="49">
    <mergeCell ref="E2:F2"/>
    <mergeCell ref="G2:H2"/>
    <mergeCell ref="I2:J2"/>
    <mergeCell ref="K2:L2"/>
    <mergeCell ref="M43:N43"/>
    <mergeCell ref="K12:L12"/>
    <mergeCell ref="M12:N12"/>
    <mergeCell ref="I38:J38"/>
    <mergeCell ref="K38:L38"/>
    <mergeCell ref="M38:N38"/>
    <mergeCell ref="F4:F8"/>
    <mergeCell ref="H4:H8"/>
    <mergeCell ref="J4:J8"/>
    <mergeCell ref="L4:L8"/>
    <mergeCell ref="K43:L43"/>
    <mergeCell ref="I12:J12"/>
    <mergeCell ref="E12:F12"/>
    <mergeCell ref="G12:H12"/>
    <mergeCell ref="A38:B39"/>
    <mergeCell ref="A43:B44"/>
    <mergeCell ref="A51:B51"/>
    <mergeCell ref="A34:B34"/>
    <mergeCell ref="A35:B35"/>
    <mergeCell ref="C38:D38"/>
    <mergeCell ref="E38:F38"/>
    <mergeCell ref="G38:H38"/>
    <mergeCell ref="G43:H43"/>
    <mergeCell ref="A50:B50"/>
    <mergeCell ref="A52:B52"/>
    <mergeCell ref="A14:A21"/>
    <mergeCell ref="A22:A25"/>
    <mergeCell ref="A26:A29"/>
    <mergeCell ref="A30:A33"/>
    <mergeCell ref="A45:B45"/>
    <mergeCell ref="A46:B46"/>
    <mergeCell ref="A47:B47"/>
    <mergeCell ref="A48:B48"/>
    <mergeCell ref="A49:B49"/>
    <mergeCell ref="A40:B40"/>
    <mergeCell ref="A42:N42"/>
    <mergeCell ref="C43:D43"/>
    <mergeCell ref="E43:F43"/>
    <mergeCell ref="I43:J43"/>
    <mergeCell ref="D4:D8"/>
    <mergeCell ref="C2:D2"/>
    <mergeCell ref="A9:B9"/>
    <mergeCell ref="A2:B3"/>
    <mergeCell ref="A12:B13"/>
    <mergeCell ref="C12:D12"/>
  </mergeCells>
  <printOptions horizontalCentered="1" verticalCentered="1"/>
  <pageMargins left="0.74791666666666701" right="0.74791666666666701" top="0.28958333333333303" bottom="0.98402777777777795" header="0.15972222222222199" footer="0.51180555555555596"/>
  <pageSetup paperSize="9"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B1:N64"/>
  <sheetViews>
    <sheetView showGridLines="0" view="pageBreakPreview" zoomScaleNormal="70" zoomScaleSheetLayoutView="100" workbookViewId="0">
      <selection activeCell="E16" sqref="E16"/>
    </sheetView>
  </sheetViews>
  <sheetFormatPr baseColWidth="10" defaultColWidth="9.140625" defaultRowHeight="12.75"/>
  <cols>
    <col min="1" max="1" width="2.5703125" customWidth="1"/>
    <col min="2" max="2" width="10" customWidth="1"/>
    <col min="3" max="3" width="8.140625" customWidth="1"/>
    <col min="4" max="4" width="23.5703125" customWidth="1"/>
    <col min="5" max="5" width="10.7109375" customWidth="1"/>
    <col min="6" max="6" width="3.42578125" customWidth="1"/>
    <col min="7" max="7" width="8.28515625" customWidth="1"/>
    <col min="8" max="8" width="26.42578125" customWidth="1"/>
    <col min="9" max="9" width="6.85546875" customWidth="1"/>
    <col min="10" max="10" width="8.28515625" customWidth="1"/>
    <col min="11" max="11" width="9.140625" customWidth="1"/>
  </cols>
  <sheetData>
    <row r="1" spans="2:8" ht="23.25" customHeight="1">
      <c r="B1" s="34" t="s">
        <v>217</v>
      </c>
      <c r="C1" s="16"/>
      <c r="D1" s="16"/>
      <c r="E1" s="16"/>
      <c r="F1" s="16"/>
      <c r="G1" s="16"/>
      <c r="H1" s="16"/>
    </row>
    <row r="2" spans="2:8" ht="12" customHeight="1">
      <c r="B2" s="16"/>
      <c r="C2" s="16"/>
      <c r="D2" s="16"/>
      <c r="E2" s="16"/>
      <c r="F2" s="16"/>
      <c r="G2" s="16"/>
      <c r="H2" s="16"/>
    </row>
    <row r="3" spans="2:8">
      <c r="B3" s="16"/>
      <c r="C3" s="16"/>
      <c r="D3" s="16"/>
      <c r="E3" s="16"/>
      <c r="F3" s="16"/>
      <c r="G3" s="16"/>
      <c r="H3" s="16"/>
    </row>
    <row r="4" spans="2:8" ht="18.75">
      <c r="B4" s="35" t="s">
        <v>218</v>
      </c>
      <c r="C4" s="16"/>
      <c r="D4" s="16"/>
      <c r="E4" s="16"/>
      <c r="F4" s="16"/>
      <c r="G4" s="16"/>
      <c r="H4" s="16"/>
    </row>
    <row r="5" spans="2:8" ht="12" customHeight="1">
      <c r="B5" s="35"/>
      <c r="C5" s="16"/>
      <c r="D5" s="16"/>
      <c r="E5" s="16"/>
      <c r="F5" s="16"/>
      <c r="G5" s="16"/>
      <c r="H5" s="16"/>
    </row>
    <row r="6" spans="2:8" ht="18.75">
      <c r="B6" s="36" t="s">
        <v>219</v>
      </c>
      <c r="C6" s="16"/>
      <c r="D6" s="16"/>
      <c r="E6" s="16"/>
      <c r="F6" s="16"/>
      <c r="G6" s="16"/>
      <c r="H6" s="16"/>
    </row>
    <row r="7" spans="2:8" ht="15" customHeight="1">
      <c r="B7" s="1" t="s">
        <v>220</v>
      </c>
      <c r="C7" s="16"/>
      <c r="D7" s="16"/>
      <c r="E7" s="37" t="e">
        <f>('Résumé et gaps'!C34-'Résumé et gaps'!C17-'Résumé et gaps'!C18)/'Résumé et gaps'!C9/'Résumé sommaire (USD)'!$B$33</f>
        <v>#REF!</v>
      </c>
      <c r="F7" s="1" t="s">
        <v>221</v>
      </c>
      <c r="G7" s="1"/>
      <c r="H7" s="16"/>
    </row>
    <row r="8" spans="2:8" ht="15.75">
      <c r="C8" s="16"/>
      <c r="D8" s="16"/>
      <c r="E8" s="16"/>
      <c r="F8" s="1"/>
      <c r="G8" s="1"/>
      <c r="H8" s="16"/>
    </row>
    <row r="9" spans="2:8" ht="15.75">
      <c r="B9" s="16"/>
      <c r="C9" s="16"/>
      <c r="D9" s="16"/>
      <c r="E9" s="37" t="e">
        <f>('Résumé et gaps'!C35-'Résumé et gaps'!C18)/'Résumé et gaps'!C9/'Résumé sommaire (USD)'!$B$33</f>
        <v>#REF!</v>
      </c>
      <c r="F9" s="1" t="s">
        <v>222</v>
      </c>
      <c r="G9" s="1"/>
      <c r="H9" s="16"/>
    </row>
    <row r="10" spans="2:8" ht="15.75">
      <c r="B10" s="16"/>
      <c r="C10" s="16"/>
      <c r="D10" s="16"/>
      <c r="E10" s="16"/>
      <c r="F10" s="1"/>
      <c r="G10" s="1"/>
      <c r="H10" s="16"/>
    </row>
    <row r="11" spans="2:8" ht="15.75">
      <c r="B11" s="1" t="s">
        <v>223</v>
      </c>
      <c r="C11" s="16"/>
      <c r="D11" s="16"/>
      <c r="E11" s="37" t="e">
        <f>('Résumé et gaps'!C34-'Résumé et gaps'!C17-'Résumé et gaps'!C18)/'Résumé et gaps'!D9/'Résumé sommaire (USD)'!$B$33</f>
        <v>#REF!</v>
      </c>
      <c r="F11" s="1" t="s">
        <v>221</v>
      </c>
      <c r="G11" s="1"/>
      <c r="H11" s="16"/>
    </row>
    <row r="12" spans="2:8" ht="15.75">
      <c r="B12" s="16"/>
      <c r="C12" s="16"/>
      <c r="D12" s="16"/>
      <c r="E12" s="16"/>
      <c r="F12" s="1"/>
      <c r="G12" s="1"/>
      <c r="H12" s="16"/>
    </row>
    <row r="13" spans="2:8" ht="15.75">
      <c r="B13" s="16"/>
      <c r="C13" s="16"/>
      <c r="D13" s="16"/>
      <c r="E13" s="37" t="e">
        <f>('Résumé et gaps'!C35-'Résumé et gaps'!C18)/'Résumé et gaps'!D9/'Résumé sommaire (USD)'!$B$33</f>
        <v>#REF!</v>
      </c>
      <c r="F13" s="1" t="s">
        <v>224</v>
      </c>
      <c r="G13" s="1"/>
      <c r="H13" s="16"/>
    </row>
    <row r="14" spans="2:8" ht="11.25" customHeight="1">
      <c r="B14" s="16"/>
      <c r="C14" s="16"/>
      <c r="D14" s="16"/>
      <c r="E14" s="16"/>
      <c r="F14" s="1"/>
      <c r="G14" s="16"/>
      <c r="H14" s="16"/>
    </row>
    <row r="15" spans="2:8" ht="16.5" customHeight="1">
      <c r="B15" s="36" t="s">
        <v>225</v>
      </c>
      <c r="C15" s="16"/>
      <c r="D15" s="16"/>
      <c r="E15" s="16"/>
      <c r="F15" s="1"/>
      <c r="G15" s="16"/>
      <c r="H15" s="16"/>
    </row>
    <row r="16" spans="2:8" ht="15.75">
      <c r="C16" s="16"/>
      <c r="D16" s="16"/>
      <c r="E16" s="38"/>
      <c r="F16" s="1" t="s">
        <v>226</v>
      </c>
      <c r="G16" s="16"/>
      <c r="H16" s="16"/>
    </row>
    <row r="17" spans="2:14" ht="15.75">
      <c r="B17" s="16"/>
      <c r="C17" s="16"/>
      <c r="D17" s="16"/>
      <c r="E17" s="16"/>
      <c r="F17" s="1"/>
      <c r="G17" s="16"/>
      <c r="H17" s="16"/>
    </row>
    <row r="18" spans="2:14" ht="15.75">
      <c r="B18" s="16"/>
      <c r="C18" s="16"/>
      <c r="D18" s="16"/>
      <c r="E18" s="39" t="e">
        <f>('Résumé et gaps'!C35-'Résumé et gaps'!C15)/Analyses!E16/'Résumé sommaire (USD)'!$B$33</f>
        <v>#REF!</v>
      </c>
      <c r="F18" s="1" t="s">
        <v>227</v>
      </c>
      <c r="G18" s="16"/>
      <c r="H18" s="16"/>
    </row>
    <row r="19" spans="2:14" ht="17.25" customHeight="1">
      <c r="B19" s="40"/>
      <c r="C19" s="16"/>
      <c r="D19" s="16"/>
      <c r="E19" s="16"/>
      <c r="F19" s="16"/>
      <c r="G19" s="16"/>
      <c r="H19" s="16"/>
    </row>
    <row r="20" spans="2:14">
      <c r="J20" s="47">
        <v>1</v>
      </c>
      <c r="K20" s="47" t="s">
        <v>228</v>
      </c>
      <c r="L20" s="47"/>
      <c r="M20" s="47"/>
      <c r="N20" s="47" t="e">
        <f>SUMIF(#REF!,Analyses!K20,#REF!)+SUMIF(#REF!,Analyses!K20,#REF!)+SUMIF(#REF!,Analyses!K20,#REF!)+SUMIF(#REF!,Analyses!K20,#REF!)</f>
        <v>#REF!</v>
      </c>
    </row>
    <row r="21" spans="2:14">
      <c r="J21" s="47">
        <v>2</v>
      </c>
      <c r="K21" s="47" t="s">
        <v>229</v>
      </c>
      <c r="L21" s="47"/>
      <c r="M21" s="47"/>
      <c r="N21" s="47" t="e">
        <f>SUMIF(#REF!,Analyses!K21,#REF!)+SUMIF(#REF!,Analyses!K21,#REF!)+SUMIF(#REF!,Analyses!K21,#REF!)+SUMIF(#REF!,Analyses!K21,#REF!)</f>
        <v>#REF!</v>
      </c>
    </row>
    <row r="22" spans="2:14">
      <c r="J22" s="47">
        <v>3</v>
      </c>
      <c r="K22" s="47" t="s">
        <v>230</v>
      </c>
      <c r="L22" s="47"/>
      <c r="M22" s="47"/>
      <c r="N22" s="47" t="e">
        <f>SUMIF(#REF!,Analyses!K22,#REF!)+SUMIF(#REF!,Analyses!K22,#REF!)+SUMIF(#REF!,Analyses!K22,#REF!)+SUMIF(#REF!,Analyses!K22,#REF!)</f>
        <v>#REF!</v>
      </c>
    </row>
    <row r="44" spans="2:8" ht="20.25">
      <c r="B44" s="41"/>
      <c r="C44" s="42"/>
      <c r="D44" s="42"/>
      <c r="E44" s="42"/>
      <c r="F44" s="42"/>
      <c r="G44" s="42"/>
      <c r="H44" s="42"/>
    </row>
    <row r="45" spans="2:8" ht="7.5" customHeight="1">
      <c r="B45" s="42"/>
      <c r="C45" s="42"/>
      <c r="D45" s="42"/>
      <c r="E45" s="42"/>
      <c r="F45" s="42"/>
      <c r="G45" s="42"/>
      <c r="H45" s="42"/>
    </row>
    <row r="46" spans="2:8" ht="15" customHeight="1">
      <c r="B46" s="43" t="s">
        <v>231</v>
      </c>
      <c r="C46" s="44"/>
      <c r="D46" s="44"/>
      <c r="E46" s="42"/>
      <c r="F46" s="42"/>
      <c r="G46" s="42"/>
      <c r="H46" s="42"/>
    </row>
    <row r="47" spans="2:8" ht="15">
      <c r="B47" s="44"/>
      <c r="C47" s="42"/>
      <c r="D47" s="42"/>
      <c r="E47" s="42"/>
      <c r="F47" s="42"/>
      <c r="G47" s="42"/>
      <c r="H47" s="42"/>
    </row>
    <row r="48" spans="2:8">
      <c r="B48" s="42"/>
      <c r="C48" s="42"/>
      <c r="D48" s="42"/>
      <c r="E48" s="42"/>
      <c r="F48" s="42"/>
      <c r="G48" s="42"/>
      <c r="H48" s="42"/>
    </row>
    <row r="49" spans="2:8" ht="18">
      <c r="B49" s="45"/>
      <c r="C49" s="42"/>
      <c r="D49" s="42"/>
      <c r="E49" s="42"/>
      <c r="F49" s="42"/>
      <c r="G49" s="42"/>
      <c r="H49" s="42"/>
    </row>
    <row r="50" spans="2:8">
      <c r="B50" s="42"/>
      <c r="C50" s="42"/>
      <c r="D50" s="42"/>
      <c r="E50" s="42"/>
      <c r="F50" s="42"/>
      <c r="G50" s="42"/>
      <c r="H50" s="42"/>
    </row>
    <row r="51" spans="2:8" ht="15" customHeight="1">
      <c r="B51" s="46"/>
      <c r="C51" s="42"/>
      <c r="D51" s="42"/>
      <c r="E51" s="42"/>
      <c r="F51" s="44"/>
      <c r="G51" s="44"/>
      <c r="H51" s="42"/>
    </row>
    <row r="52" spans="2:8" ht="15">
      <c r="B52" s="42"/>
      <c r="C52" s="42"/>
      <c r="D52" s="42"/>
      <c r="E52" s="42"/>
      <c r="F52" s="44"/>
      <c r="G52" s="44"/>
      <c r="H52" s="42"/>
    </row>
    <row r="53" spans="2:8" ht="15">
      <c r="B53" s="42"/>
      <c r="C53" s="42"/>
      <c r="D53" s="42"/>
      <c r="E53" s="42"/>
      <c r="F53" s="44"/>
      <c r="G53" s="44"/>
      <c r="H53" s="42"/>
    </row>
    <row r="54" spans="2:8" ht="15">
      <c r="B54" s="42"/>
      <c r="C54" s="42"/>
      <c r="D54" s="42"/>
      <c r="E54" s="42"/>
      <c r="F54" s="44"/>
      <c r="G54" s="44"/>
      <c r="H54" s="42"/>
    </row>
    <row r="55" spans="2:8" ht="15">
      <c r="B55" s="42"/>
      <c r="C55" s="42"/>
      <c r="D55" s="42"/>
      <c r="E55" s="42"/>
      <c r="F55" s="44"/>
      <c r="G55" s="44"/>
      <c r="H55" s="42"/>
    </row>
    <row r="56" spans="2:8" ht="15">
      <c r="B56" s="42"/>
      <c r="C56" s="42"/>
      <c r="D56" s="42"/>
      <c r="E56" s="42"/>
      <c r="F56" s="44"/>
      <c r="G56" s="44"/>
      <c r="H56" s="42"/>
    </row>
    <row r="57" spans="2:8" ht="15">
      <c r="B57" s="42"/>
      <c r="C57" s="42"/>
      <c r="D57" s="42"/>
      <c r="E57" s="42"/>
      <c r="F57" s="44"/>
      <c r="G57" s="44"/>
      <c r="H57" s="42"/>
    </row>
    <row r="58" spans="2:8">
      <c r="B58" s="42"/>
      <c r="C58" s="42"/>
      <c r="D58" s="42"/>
      <c r="E58" s="42"/>
      <c r="F58" s="42"/>
      <c r="G58" s="42"/>
      <c r="H58" s="42"/>
    </row>
    <row r="59" spans="2:8">
      <c r="B59" s="42"/>
      <c r="C59" s="42"/>
      <c r="D59" s="42"/>
      <c r="E59" s="42"/>
      <c r="F59" s="42"/>
      <c r="G59" s="42"/>
      <c r="H59" s="42"/>
    </row>
    <row r="60" spans="2:8" ht="18">
      <c r="B60" s="46"/>
      <c r="C60" s="42"/>
      <c r="D60" s="42"/>
      <c r="E60" s="42"/>
      <c r="F60" s="44"/>
      <c r="G60" s="42"/>
      <c r="H60" s="42"/>
    </row>
    <row r="61" spans="2:8" ht="15">
      <c r="B61" s="42"/>
      <c r="C61" s="42"/>
      <c r="D61" s="42"/>
      <c r="E61" s="42"/>
      <c r="F61" s="44"/>
      <c r="G61" s="42"/>
      <c r="H61" s="42"/>
    </row>
    <row r="62" spans="2:8" ht="15">
      <c r="B62" s="42"/>
      <c r="C62" s="42"/>
      <c r="D62" s="42"/>
      <c r="E62" s="42"/>
      <c r="F62" s="44"/>
      <c r="G62" s="42"/>
      <c r="H62" s="42"/>
    </row>
    <row r="63" spans="2:8">
      <c r="B63" s="42"/>
      <c r="C63" s="42"/>
      <c r="D63" s="42"/>
      <c r="E63" s="42"/>
      <c r="F63" s="42"/>
      <c r="G63" s="42"/>
      <c r="H63" s="42"/>
    </row>
    <row r="64" spans="2:8">
      <c r="B64" s="42"/>
      <c r="C64" s="42"/>
      <c r="D64" s="42"/>
      <c r="E64" s="42"/>
      <c r="F64" s="42"/>
      <c r="G64" s="42"/>
      <c r="H64" s="42"/>
    </row>
  </sheetData>
  <sheetProtection formatCells="0" formatColumns="0" formatRows="0"/>
  <pageMargins left="0.75" right="0.75" top="1" bottom="1" header="0.5" footer="0.5"/>
  <pageSetup paperSize="9" scale="57" orientation="landscape" horizontalDpi="2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31"/>
  <sheetViews>
    <sheetView workbookViewId="0">
      <selection activeCell="I12" sqref="I12"/>
    </sheetView>
  </sheetViews>
  <sheetFormatPr baseColWidth="10" defaultColWidth="9.140625" defaultRowHeight="12.75"/>
  <cols>
    <col min="1" max="1" width="38.5703125" customWidth="1"/>
    <col min="2" max="2" width="14.5703125" customWidth="1"/>
    <col min="3" max="3" width="13.28515625" customWidth="1"/>
    <col min="4" max="4" width="11.85546875" customWidth="1"/>
    <col min="5" max="5" width="15" customWidth="1"/>
    <col min="6" max="6" width="9.140625" customWidth="1"/>
  </cols>
  <sheetData>
    <row r="1" spans="1:5">
      <c r="A1" s="361" t="s">
        <v>232</v>
      </c>
      <c r="B1" s="361" t="s">
        <v>233</v>
      </c>
      <c r="C1" s="361" t="s">
        <v>234</v>
      </c>
      <c r="D1" s="361"/>
      <c r="E1" s="361" t="s">
        <v>124</v>
      </c>
    </row>
    <row r="2" spans="1:5">
      <c r="A2" s="361"/>
      <c r="B2" s="361"/>
      <c r="C2" s="23" t="s">
        <v>235</v>
      </c>
      <c r="D2" s="23" t="s">
        <v>236</v>
      </c>
      <c r="E2" s="361"/>
    </row>
    <row r="3" spans="1:5">
      <c r="A3" s="362" t="s">
        <v>237</v>
      </c>
      <c r="B3" s="362"/>
      <c r="C3" s="362"/>
      <c r="D3" s="362"/>
      <c r="E3" s="362"/>
    </row>
    <row r="4" spans="1:5">
      <c r="A4" s="24" t="s">
        <v>126</v>
      </c>
      <c r="B4" s="25">
        <f>+'Coût Activités'!N25+'Coût Activités'!N26+'Coût Activités'!N27*5</f>
        <v>2350865500</v>
      </c>
      <c r="C4" s="26">
        <f>Financement!D4+Financement!M4+Financement!V4+Financement!AE4+Financement!AN4</f>
        <v>0</v>
      </c>
      <c r="D4" s="26">
        <f>SUM(Financement!E4:J4)+SUM(Financement!N4:S4)+SUM(Financement!W4:AB4)+SUM(Financement!AF4:AK4)+SUM(Financement!AO4:AT4)</f>
        <v>0</v>
      </c>
      <c r="E4" s="26">
        <f>'Résumé et gaps'!N14</f>
        <v>0</v>
      </c>
    </row>
    <row r="5" spans="1:5">
      <c r="A5" s="24" t="s">
        <v>613</v>
      </c>
      <c r="B5" s="25">
        <f>'Résumé et gaps'!M15</f>
        <v>0</v>
      </c>
      <c r="C5" s="26">
        <f>Financement!D5+Financement!M5+Financement!V5+Financement!AE5+Financement!AN5</f>
        <v>0</v>
      </c>
      <c r="D5" s="26">
        <f>SUM(Financement!E5:J5)+SUM(Financement!N5:S5)+SUM(Financement!W5:AB5)+SUM(Financement!AF5:AK5)+SUM(Financement!AO5:AT5)</f>
        <v>0</v>
      </c>
      <c r="E5" s="26">
        <f>'Résumé et gaps'!N15</f>
        <v>0</v>
      </c>
    </row>
    <row r="6" spans="1:5">
      <c r="A6" s="24" t="s">
        <v>614</v>
      </c>
      <c r="B6" s="25" t="s">
        <v>624</v>
      </c>
      <c r="C6" s="26">
        <f>Financement!D6+Financement!M6+Financement!V6+Financement!AE6+Financement!AN6</f>
        <v>0</v>
      </c>
      <c r="D6" s="26">
        <f>SUM(Financement!E6:J6)+SUM(Financement!N6:S6)+SUM(Financement!W6:AB6)+SUM(Financement!AF6:AK6)+SUM(Financement!AO6:AT6)</f>
        <v>0</v>
      </c>
      <c r="E6" s="26" t="e">
        <f>'Résumé et gaps'!N16</f>
        <v>#REF!</v>
      </c>
    </row>
    <row r="7" spans="1:5">
      <c r="A7" s="24" t="s">
        <v>615</v>
      </c>
      <c r="B7" s="25">
        <f>+'Coût Activités'!I43</f>
        <v>150000000</v>
      </c>
      <c r="C7" s="26">
        <f>Financement!D7+Financement!M7+Financement!V7+Financement!AE7+Financement!AN7</f>
        <v>0</v>
      </c>
      <c r="D7" s="26">
        <f>SUM(Financement!E7:J7)+SUM(Financement!N7:S7)+SUM(Financement!W7:AB7)+SUM(Financement!AF7:AK7)+SUM(Financement!AO7:AT7)</f>
        <v>0</v>
      </c>
      <c r="E7" s="26">
        <f>'Résumé et gaps'!N17</f>
        <v>0</v>
      </c>
    </row>
    <row r="8" spans="1:5" ht="25.5">
      <c r="A8" s="24" t="s">
        <v>616</v>
      </c>
      <c r="B8" s="25">
        <f>'Résumé et gaps'!M18</f>
        <v>0</v>
      </c>
      <c r="C8" s="26">
        <f>Financement!D8+Financement!M8+Financement!V8+Financement!AE8+Financement!AN8</f>
        <v>0</v>
      </c>
      <c r="D8" s="26">
        <f>SUM(Financement!E8:J8)+SUM(Financement!N8:S8)+SUM(Financement!W8:AB8)+SUM(Financement!AF8:AK8)+SUM(Financement!AO8:AT8)</f>
        <v>0</v>
      </c>
      <c r="E8" s="26">
        <f>'Résumé et gaps'!N18</f>
        <v>0</v>
      </c>
    </row>
    <row r="9" spans="1:5">
      <c r="A9" s="24" t="s">
        <v>617</v>
      </c>
      <c r="B9" s="25">
        <f>'Résumé et gaps'!M19</f>
        <v>0</v>
      </c>
      <c r="C9" s="26">
        <f>Financement!D9+Financement!M9+Financement!V9+Financement!AE9+Financement!AN9</f>
        <v>0</v>
      </c>
      <c r="D9" s="26">
        <f>SUM(Financement!E9:J9)+SUM(Financement!N9:S9)+SUM(Financement!W9:AB9)+SUM(Financement!AF9:AK9)+SUM(Financement!AO9:AT9)</f>
        <v>0</v>
      </c>
      <c r="E9" s="26">
        <f>'Résumé et gaps'!N19</f>
        <v>0</v>
      </c>
    </row>
    <row r="10" spans="1:5" ht="25.5">
      <c r="A10" s="24" t="s">
        <v>618</v>
      </c>
      <c r="B10" s="25">
        <f>'Résumé et gaps'!M20</f>
        <v>0</v>
      </c>
      <c r="C10" s="26">
        <f>Financement!D10+Financement!M10+Financement!V10+Financement!AE10+Financement!AN10</f>
        <v>0</v>
      </c>
      <c r="D10" s="26">
        <f>SUM(Financement!E10:J10)+SUM(Financement!N10:S10)+SUM(Financement!W10:AB10)+SUM(Financement!AF10:AK10)+SUM(Financement!AO10:AT10)</f>
        <v>0</v>
      </c>
      <c r="E10" s="26">
        <f>'Résumé et gaps'!N20</f>
        <v>0</v>
      </c>
    </row>
    <row r="11" spans="1:5">
      <c r="A11" s="24" t="s">
        <v>111</v>
      </c>
      <c r="B11" s="25">
        <f>'Résumé et gaps'!M21</f>
        <v>0</v>
      </c>
      <c r="C11" s="26">
        <f>Financement!D11+Financement!M11+Financement!V11+Financement!AE11+Financement!AN11</f>
        <v>0</v>
      </c>
      <c r="D11" s="26">
        <f>SUM(Financement!E11:J11)+SUM(Financement!N11:S11)+SUM(Financement!W11:AB11)+SUM(Financement!AF11:AK11)+SUM(Financement!AO11:AT11)</f>
        <v>0</v>
      </c>
      <c r="E11" s="26">
        <f>'Résumé et gaps'!N21</f>
        <v>0</v>
      </c>
    </row>
    <row r="12" spans="1:5">
      <c r="A12" s="27" t="s">
        <v>238</v>
      </c>
      <c r="B12" s="28">
        <f>SUM(B4:B11)</f>
        <v>2500865500</v>
      </c>
      <c r="C12" s="28">
        <f>SUM(C4:C11)</f>
        <v>0</v>
      </c>
      <c r="D12" s="28">
        <f>SUM(D4:D11)</f>
        <v>0</v>
      </c>
      <c r="E12" s="28" t="e">
        <f>SUM(E4:E11)</f>
        <v>#REF!</v>
      </c>
    </row>
    <row r="13" spans="1:5">
      <c r="A13" s="362" t="s">
        <v>239</v>
      </c>
      <c r="B13" s="362"/>
      <c r="C13" s="362"/>
      <c r="D13" s="362"/>
      <c r="E13" s="362"/>
    </row>
    <row r="14" spans="1:5">
      <c r="A14" s="24" t="s">
        <v>94</v>
      </c>
      <c r="B14" s="29">
        <f>'Résumé et gaps'!M22</f>
        <v>0</v>
      </c>
      <c r="C14" s="26">
        <f>Financement!D12+Financement!M12+Financement!V12+Financement!AE12+Financement!AN12</f>
        <v>0</v>
      </c>
      <c r="D14" s="26">
        <f>SUM(Financement!E12:J12)+SUM(Financement!N12:S12)+SUM(Financement!W12:AB12)+SUM(Financement!AF12:AK12)+SUM(Financement!AO12:AT12)</f>
        <v>0</v>
      </c>
      <c r="E14" s="26">
        <f>'Résumé et gaps'!N22</f>
        <v>0</v>
      </c>
    </row>
    <row r="15" spans="1:5">
      <c r="A15" s="24" t="s">
        <v>96</v>
      </c>
      <c r="B15" s="29">
        <f>'Résumé et gaps'!M23</f>
        <v>0</v>
      </c>
      <c r="C15" s="26">
        <f>Financement!D13+Financement!M13+Financement!V13+Financement!AE13+Financement!AN13</f>
        <v>0</v>
      </c>
      <c r="D15" s="26">
        <f>SUM(Financement!E13:J13)+SUM(Financement!N13:S13)+SUM(Financement!W13:AB13)+SUM(Financement!AF13:AK13)+SUM(Financement!AO13:AT13)</f>
        <v>0</v>
      </c>
      <c r="E15" s="26">
        <f>'Résumé et gaps'!N23</f>
        <v>0</v>
      </c>
    </row>
    <row r="16" spans="1:5">
      <c r="A16" s="24" t="s">
        <v>619</v>
      </c>
      <c r="B16" s="29">
        <f>'Résumé et gaps'!M24</f>
        <v>0</v>
      </c>
      <c r="C16" s="26">
        <f>Financement!D14+Financement!M14+Financement!V14+Financement!AE14+Financement!AN14</f>
        <v>0</v>
      </c>
      <c r="D16" s="26">
        <f>SUM(Financement!E14:J14)+SUM(Financement!N14:S14)+SUM(Financement!W14:AB14)+SUM(Financement!AF14:AK14)+SUM(Financement!AO14:AT14)</f>
        <v>0</v>
      </c>
      <c r="E16" s="26">
        <f>'Résumé et gaps'!N24</f>
        <v>0</v>
      </c>
    </row>
    <row r="17" spans="1:5">
      <c r="A17" s="24" t="s">
        <v>100</v>
      </c>
      <c r="B17" s="29">
        <f>'Résumé et gaps'!M25</f>
        <v>0</v>
      </c>
      <c r="C17" s="26">
        <f>Financement!D15+Financement!M15+Financement!V15+Financement!AE15+Financement!AN15</f>
        <v>0</v>
      </c>
      <c r="D17" s="26">
        <f>SUM(Financement!E15:J15)+SUM(Financement!N15:S15)+SUM(Financement!W15:AB15)+SUM(Financement!AF15:AK15)+SUM(Financement!AO15:AT15)</f>
        <v>0</v>
      </c>
      <c r="E17" s="26">
        <f>'Résumé et gaps'!N25</f>
        <v>0</v>
      </c>
    </row>
    <row r="18" spans="1:5">
      <c r="A18" s="27" t="s">
        <v>240</v>
      </c>
      <c r="B18" s="28">
        <f>SUM(B14:B17)</f>
        <v>0</v>
      </c>
      <c r="C18" s="28">
        <f>SUM(C14:C17)</f>
        <v>0</v>
      </c>
      <c r="D18" s="28">
        <f>SUM(D14:D17)</f>
        <v>0</v>
      </c>
      <c r="E18" s="28">
        <f>SUM(E14:E17)</f>
        <v>0</v>
      </c>
    </row>
    <row r="19" spans="1:5">
      <c r="A19" s="362" t="s">
        <v>241</v>
      </c>
      <c r="B19" s="362"/>
      <c r="C19" s="362"/>
      <c r="D19" s="362"/>
      <c r="E19" s="362"/>
    </row>
    <row r="20" spans="1:5">
      <c r="A20" s="24" t="s">
        <v>86</v>
      </c>
      <c r="B20" s="25">
        <f>'Résumé et gaps'!M26</f>
        <v>0</v>
      </c>
      <c r="C20" s="26">
        <f>Financement!D16+Financement!M16+Financement!V16+Financement!AE16+Financement!AN16</f>
        <v>0</v>
      </c>
      <c r="D20" s="30">
        <f>SUM(Financement!E16:J16)+SUM(Financement!N16:S16)+SUM(Financement!W16:AB16)+SUM(Financement!AF16:AK16)+SUM(Financement!AO16:AT16)</f>
        <v>0</v>
      </c>
      <c r="E20" s="26">
        <f>'Résumé et gaps'!N26</f>
        <v>0</v>
      </c>
    </row>
    <row r="21" spans="1:5">
      <c r="A21" s="24" t="s">
        <v>620</v>
      </c>
      <c r="B21" s="25">
        <f>'Résumé et gaps'!M27</f>
        <v>0</v>
      </c>
      <c r="C21" s="26">
        <f>Financement!D17+Financement!M17+Financement!V17+Financement!AE17+Financement!AN17</f>
        <v>0</v>
      </c>
      <c r="D21" s="30">
        <f>SUM(Financement!E17:J17)+SUM(Financement!N17:S17)+SUM(Financement!W17:AB17)+SUM(Financement!AF17:AK17)+SUM(Financement!AO17:AT17)</f>
        <v>0</v>
      </c>
      <c r="E21" s="26">
        <f>'Résumé et gaps'!N27</f>
        <v>0</v>
      </c>
    </row>
    <row r="22" spans="1:5">
      <c r="A22" s="24" t="s">
        <v>621</v>
      </c>
      <c r="B22" s="25">
        <f>'Résumé et gaps'!M28</f>
        <v>0</v>
      </c>
      <c r="C22" s="26">
        <f>Financement!D18+Financement!M18+Financement!V18+Financement!AE18+Financement!AN18</f>
        <v>0</v>
      </c>
      <c r="D22" s="30">
        <f>SUM(Financement!E18:J18)+SUM(Financement!N18:S18)+SUM(Financement!W18:AB18)+SUM(Financement!AF18:AK18)+SUM(Financement!AO18:AT18)</f>
        <v>0</v>
      </c>
      <c r="E22" s="26">
        <f>'Résumé et gaps'!N28</f>
        <v>0</v>
      </c>
    </row>
    <row r="23" spans="1:5">
      <c r="A23" s="24" t="s">
        <v>622</v>
      </c>
      <c r="B23" s="25">
        <f>'Résumé et gaps'!M29</f>
        <v>0</v>
      </c>
      <c r="C23" s="26">
        <f>Financement!D19+Financement!M19+Financement!V19+Financement!AE19+Financement!AN19</f>
        <v>0</v>
      </c>
      <c r="D23" s="30">
        <f>SUM(Financement!E19:J19)+SUM(Financement!N19:S19)+SUM(Financement!W19:AB19)+SUM(Financement!AF19:AK19)+SUM(Financement!AO19:AT19)</f>
        <v>0</v>
      </c>
      <c r="E23" s="26">
        <f>'Résumé et gaps'!N29</f>
        <v>0</v>
      </c>
    </row>
    <row r="24" spans="1:5">
      <c r="A24" s="27" t="s">
        <v>242</v>
      </c>
      <c r="B24" s="28">
        <f>SUM(B20:B23)</f>
        <v>0</v>
      </c>
      <c r="C24" s="28">
        <f>SUM(C20:C23)</f>
        <v>0</v>
      </c>
      <c r="D24" s="28">
        <f>SUM(D20:D23)</f>
        <v>0</v>
      </c>
      <c r="E24" s="28">
        <f>SUM(E20:E23)</f>
        <v>0</v>
      </c>
    </row>
    <row r="25" spans="1:5">
      <c r="A25" s="362" t="s">
        <v>243</v>
      </c>
      <c r="B25" s="362"/>
      <c r="C25" s="362"/>
      <c r="D25" s="362"/>
      <c r="E25" s="362"/>
    </row>
    <row r="26" spans="1:5">
      <c r="A26" s="24" t="s">
        <v>112</v>
      </c>
      <c r="B26" s="25">
        <f>'Résumé et gaps'!M30</f>
        <v>0</v>
      </c>
      <c r="C26" s="26">
        <f>Financement!D20+Financement!M20+Financement!V20+Financement!AE20+Financement!AN20</f>
        <v>0</v>
      </c>
      <c r="D26" s="26">
        <f>SUM(Financement!E20:J20)+SUM(Financement!N20:S20)+SUM(Financement!W20:AB20)+SUM(Financement!AF20:AK20)+SUM(Financement!AO20:AT20)</f>
        <v>0</v>
      </c>
      <c r="E26" s="26">
        <f>'Résumé et gaps'!N30</f>
        <v>0</v>
      </c>
    </row>
    <row r="27" spans="1:5" ht="25.5">
      <c r="A27" s="24" t="s">
        <v>623</v>
      </c>
      <c r="B27" s="25">
        <f>'Résumé et gaps'!M31</f>
        <v>0</v>
      </c>
      <c r="C27" s="26">
        <f>Financement!D21+Financement!M21+Financement!V21+Financement!AE21+Financement!AN21</f>
        <v>0</v>
      </c>
      <c r="D27" s="26">
        <f>SUM(Financement!E21:J21)+SUM(Financement!N21:S21)+SUM(Financement!W21:AB21)+SUM(Financement!AF21:AK21)+SUM(Financement!AO21:AT21)</f>
        <v>0</v>
      </c>
      <c r="E27" s="26">
        <f>'Résumé et gaps'!N31</f>
        <v>0</v>
      </c>
    </row>
    <row r="28" spans="1:5">
      <c r="A28" s="24" t="s">
        <v>114</v>
      </c>
      <c r="B28" s="25">
        <f>'Résumé et gaps'!M32</f>
        <v>0</v>
      </c>
      <c r="C28" s="26">
        <f>Financement!D22+Financement!M22+Financement!V22+Financement!AE22+Financement!AN22</f>
        <v>0</v>
      </c>
      <c r="D28" s="26">
        <f>SUM(Financement!E22:J22)+SUM(Financement!N22:S22)+SUM(Financement!W22:AB22)+SUM(Financement!AF22:AK22)+SUM(Financement!AO22:AT22)</f>
        <v>0</v>
      </c>
      <c r="E28" s="26">
        <f>'Résumé et gaps'!N32</f>
        <v>0</v>
      </c>
    </row>
    <row r="29" spans="1:5">
      <c r="A29" s="24" t="s">
        <v>115</v>
      </c>
      <c r="B29" s="25">
        <f>'Résumé et gaps'!M33</f>
        <v>0</v>
      </c>
      <c r="C29" s="26">
        <f>Financement!D23+Financement!M23+Financement!V23+Financement!AE23+Financement!AN23</f>
        <v>0</v>
      </c>
      <c r="D29" s="26">
        <f>SUM(Financement!E23:J23)+SUM(Financement!N23:S23)+SUM(Financement!W23:AB23)+SUM(Financement!AF23:AK23)+SUM(Financement!AO23:AT23)</f>
        <v>0</v>
      </c>
      <c r="E29" s="26">
        <f>'Résumé et gaps'!N33</f>
        <v>0</v>
      </c>
    </row>
    <row r="30" spans="1:5">
      <c r="A30" s="27" t="s">
        <v>244</v>
      </c>
      <c r="B30" s="28">
        <f>SUM(B26:B29)</f>
        <v>0</v>
      </c>
      <c r="C30" s="28">
        <f>SUM(C26:C29)</f>
        <v>0</v>
      </c>
      <c r="D30" s="28">
        <f>SUM(D26:D29)</f>
        <v>0</v>
      </c>
      <c r="E30" s="28">
        <f>SUM(E26:E29)</f>
        <v>0</v>
      </c>
    </row>
    <row r="31" spans="1:5">
      <c r="A31" s="31" t="s">
        <v>245</v>
      </c>
      <c r="B31" s="32">
        <f>SUM(B24,B18,B12,B30)</f>
        <v>2500865500</v>
      </c>
      <c r="C31" s="32">
        <f>SUM(C24,C18,C12,C30)</f>
        <v>0</v>
      </c>
      <c r="D31" s="32">
        <f>SUM(D24,D18,D12,D30)</f>
        <v>0</v>
      </c>
      <c r="E31" s="32" t="e">
        <f>SUM(E24,E18,E12,E30)</f>
        <v>#REF!</v>
      </c>
    </row>
  </sheetData>
  <mergeCells count="8">
    <mergeCell ref="C1:D1"/>
    <mergeCell ref="A3:E3"/>
    <mergeCell ref="A13:E13"/>
    <mergeCell ref="A19:E19"/>
    <mergeCell ref="A25:E25"/>
    <mergeCell ref="A1:A2"/>
    <mergeCell ref="B1:B2"/>
    <mergeCell ref="E1:E2"/>
  </mergeCells>
  <pageMargins left="0.69930555555555596" right="0.69930555555555596"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33"/>
  <sheetViews>
    <sheetView workbookViewId="0">
      <selection activeCell="L24" sqref="L24"/>
    </sheetView>
  </sheetViews>
  <sheetFormatPr baseColWidth="10" defaultColWidth="9.140625" defaultRowHeight="12.75"/>
  <cols>
    <col min="1" max="1" width="38.5703125" customWidth="1"/>
    <col min="2" max="2" width="14.5703125" customWidth="1"/>
    <col min="3" max="3" width="13.28515625" customWidth="1"/>
    <col min="4" max="4" width="11.85546875" customWidth="1"/>
    <col min="5" max="5" width="15" customWidth="1"/>
    <col min="6" max="6" width="9.140625" customWidth="1"/>
  </cols>
  <sheetData>
    <row r="1" spans="1:5">
      <c r="A1" s="361" t="s">
        <v>232</v>
      </c>
      <c r="B1" s="361" t="s">
        <v>246</v>
      </c>
      <c r="C1" s="361" t="s">
        <v>234</v>
      </c>
      <c r="D1" s="361"/>
      <c r="E1" s="361" t="s">
        <v>124</v>
      </c>
    </row>
    <row r="2" spans="1:5">
      <c r="A2" s="361"/>
      <c r="B2" s="361"/>
      <c r="C2" s="23" t="s">
        <v>235</v>
      </c>
      <c r="D2" s="23" t="s">
        <v>236</v>
      </c>
      <c r="E2" s="361"/>
    </row>
    <row r="3" spans="1:5">
      <c r="A3" s="362" t="s">
        <v>247</v>
      </c>
      <c r="B3" s="362"/>
      <c r="C3" s="362"/>
      <c r="D3" s="362"/>
      <c r="E3" s="362"/>
    </row>
    <row r="4" spans="1:5">
      <c r="A4" s="24" t="s">
        <v>102</v>
      </c>
      <c r="B4" s="25">
        <f>'Résumé sommaire (GNF)'!B4/'Résumé sommaire (USD)'!$B$33</f>
        <v>261207.27777777778</v>
      </c>
      <c r="C4" s="26">
        <f>'Résumé sommaire (GNF)'!C4/'Résumé sommaire (USD)'!$B$33</f>
        <v>0</v>
      </c>
      <c r="D4" s="26">
        <f>'Résumé sommaire (GNF)'!D4/'Résumé sommaire (USD)'!$B$33</f>
        <v>0</v>
      </c>
      <c r="E4" s="26">
        <f>'Résumé sommaire (GNF)'!E4/'Résumé sommaire (USD)'!$B$33</f>
        <v>0</v>
      </c>
    </row>
    <row r="5" spans="1:5">
      <c r="A5" s="24" t="s">
        <v>104</v>
      </c>
      <c r="B5" s="25">
        <f>'Résumé sommaire (GNF)'!B5/'Résumé sommaire (USD)'!$B$33</f>
        <v>0</v>
      </c>
      <c r="C5" s="26">
        <f>'Résumé sommaire (GNF)'!C5/'Résumé sommaire (USD)'!$B$33</f>
        <v>0</v>
      </c>
      <c r="D5" s="26">
        <f>'Résumé sommaire (GNF)'!D5/'Résumé sommaire (USD)'!$B$33</f>
        <v>0</v>
      </c>
      <c r="E5" s="26">
        <f>'Résumé sommaire (GNF)'!E5/'Résumé sommaire (USD)'!$B$33</f>
        <v>0</v>
      </c>
    </row>
    <row r="6" spans="1:5">
      <c r="A6" s="24" t="s">
        <v>106</v>
      </c>
      <c r="B6" s="25" t="e">
        <f>'Résumé sommaire (GNF)'!B6/'Résumé sommaire (USD)'!$B$33</f>
        <v>#VALUE!</v>
      </c>
      <c r="C6" s="26">
        <f>'Résumé sommaire (GNF)'!C6/'Résumé sommaire (USD)'!$B$33</f>
        <v>0</v>
      </c>
      <c r="D6" s="26">
        <f>'Résumé sommaire (GNF)'!D6/'Résumé sommaire (USD)'!$B$33</f>
        <v>0</v>
      </c>
      <c r="E6" s="26" t="e">
        <f>'Résumé sommaire (GNF)'!E6/'Résumé sommaire (USD)'!$B$33</f>
        <v>#REF!</v>
      </c>
    </row>
    <row r="7" spans="1:5">
      <c r="A7" s="24" t="s">
        <v>107</v>
      </c>
      <c r="B7" s="25">
        <f>'Résumé sommaire (GNF)'!B7/'Résumé sommaire (USD)'!$B$33</f>
        <v>16666.666666666668</v>
      </c>
      <c r="C7" s="26">
        <f>'Résumé sommaire (GNF)'!C7/'Résumé sommaire (USD)'!$B$33</f>
        <v>0</v>
      </c>
      <c r="D7" s="26">
        <f>'Résumé sommaire (GNF)'!D7/'Résumé sommaire (USD)'!$B$33</f>
        <v>0</v>
      </c>
      <c r="E7" s="26">
        <f>'Résumé sommaire (GNF)'!E7/'Résumé sommaire (USD)'!$B$33</f>
        <v>0</v>
      </c>
    </row>
    <row r="8" spans="1:5" ht="25.5">
      <c r="A8" s="24" t="s">
        <v>108</v>
      </c>
      <c r="B8" s="25">
        <f>'Résumé sommaire (GNF)'!B8/'Résumé sommaire (USD)'!$B$33</f>
        <v>0</v>
      </c>
      <c r="C8" s="26">
        <f>'Résumé sommaire (GNF)'!C8/'Résumé sommaire (USD)'!$B$33</f>
        <v>0</v>
      </c>
      <c r="D8" s="26">
        <f>'Résumé sommaire (GNF)'!D8/'Résumé sommaire (USD)'!$B$33</f>
        <v>0</v>
      </c>
      <c r="E8" s="26">
        <f>'Résumé sommaire (GNF)'!E8/'Résumé sommaire (USD)'!$B$33</f>
        <v>0</v>
      </c>
    </row>
    <row r="9" spans="1:5">
      <c r="A9" s="24" t="s">
        <v>109</v>
      </c>
      <c r="B9" s="25">
        <f>'Résumé sommaire (GNF)'!B9/'Résumé sommaire (USD)'!$B$33</f>
        <v>0</v>
      </c>
      <c r="C9" s="26">
        <f>'Résumé sommaire (GNF)'!C9/'Résumé sommaire (USD)'!$B$33</f>
        <v>0</v>
      </c>
      <c r="D9" s="26">
        <f>'Résumé sommaire (GNF)'!D9/'Résumé sommaire (USD)'!$B$33</f>
        <v>0</v>
      </c>
      <c r="E9" s="26">
        <f>'Résumé sommaire (GNF)'!E9/'Résumé sommaire (USD)'!$B$33</f>
        <v>0</v>
      </c>
    </row>
    <row r="10" spans="1:5">
      <c r="A10" s="24" t="s">
        <v>110</v>
      </c>
      <c r="B10" s="25">
        <f>'Résumé sommaire (GNF)'!B10/'Résumé sommaire (USD)'!$B$33</f>
        <v>0</v>
      </c>
      <c r="C10" s="26">
        <f>'Résumé sommaire (GNF)'!C10/'Résumé sommaire (USD)'!$B$33</f>
        <v>0</v>
      </c>
      <c r="D10" s="26">
        <f>'Résumé sommaire (GNF)'!D10/'Résumé sommaire (USD)'!$B$33</f>
        <v>0</v>
      </c>
      <c r="E10" s="26">
        <f>'Résumé sommaire (GNF)'!E10/'Résumé sommaire (USD)'!$B$33</f>
        <v>0</v>
      </c>
    </row>
    <row r="11" spans="1:5">
      <c r="A11" s="24" t="s">
        <v>111</v>
      </c>
      <c r="B11" s="25">
        <f>'Résumé sommaire (GNF)'!B11/'Résumé sommaire (USD)'!$B$33</f>
        <v>0</v>
      </c>
      <c r="C11" s="26">
        <f>'Résumé sommaire (GNF)'!C11/'Résumé sommaire (USD)'!$B$33</f>
        <v>0</v>
      </c>
      <c r="D11" s="26">
        <f>'Résumé sommaire (GNF)'!D11/'Résumé sommaire (USD)'!$B$33</f>
        <v>0</v>
      </c>
      <c r="E11" s="26">
        <f>'Résumé sommaire (GNF)'!E11/'Résumé sommaire (USD)'!$B$33</f>
        <v>0</v>
      </c>
    </row>
    <row r="12" spans="1:5">
      <c r="A12" s="27" t="s">
        <v>238</v>
      </c>
      <c r="B12" s="28">
        <f>'Résumé sommaire (GNF)'!B12/'Résumé sommaire (USD)'!$B$33</f>
        <v>277873.94444444444</v>
      </c>
      <c r="C12" s="28">
        <f>'Résumé sommaire (GNF)'!C12/'Résumé sommaire (USD)'!$B$33</f>
        <v>0</v>
      </c>
      <c r="D12" s="28">
        <f>'Résumé sommaire (GNF)'!D12/'Résumé sommaire (USD)'!$B$33</f>
        <v>0</v>
      </c>
      <c r="E12" s="28" t="e">
        <f>'Résumé sommaire (GNF)'!E12/'Résumé sommaire (USD)'!$B$33</f>
        <v>#REF!</v>
      </c>
    </row>
    <row r="13" spans="1:5">
      <c r="A13" s="362" t="s">
        <v>239</v>
      </c>
      <c r="B13" s="362"/>
      <c r="C13" s="362"/>
      <c r="D13" s="362"/>
      <c r="E13" s="362"/>
    </row>
    <row r="14" spans="1:5">
      <c r="A14" s="24" t="s">
        <v>94</v>
      </c>
      <c r="B14" s="29">
        <f>'Résumé sommaire (GNF)'!B14/'Résumé sommaire (USD)'!$B$33</f>
        <v>0</v>
      </c>
      <c r="C14" s="26">
        <f>'Résumé sommaire (GNF)'!C14/'Résumé sommaire (USD)'!$B$33</f>
        <v>0</v>
      </c>
      <c r="D14" s="26">
        <f>'Résumé sommaire (GNF)'!D14/'Résumé sommaire (USD)'!$B$33</f>
        <v>0</v>
      </c>
      <c r="E14" s="26">
        <f>'Résumé sommaire (GNF)'!E14/'Résumé sommaire (USD)'!$B$33</f>
        <v>0</v>
      </c>
    </row>
    <row r="15" spans="1:5">
      <c r="A15" s="24" t="s">
        <v>96</v>
      </c>
      <c r="B15" s="29">
        <f>'Résumé sommaire (GNF)'!B15/'Résumé sommaire (USD)'!$B$33</f>
        <v>0</v>
      </c>
      <c r="C15" s="26">
        <f>'Résumé sommaire (GNF)'!C15/'Résumé sommaire (USD)'!$B$33</f>
        <v>0</v>
      </c>
      <c r="D15" s="26">
        <f>'Résumé sommaire (GNF)'!D15/'Résumé sommaire (USD)'!$B$33</f>
        <v>0</v>
      </c>
      <c r="E15" s="26">
        <f>'Résumé sommaire (GNF)'!E15/'Résumé sommaire (USD)'!$B$33</f>
        <v>0</v>
      </c>
    </row>
    <row r="16" spans="1:5">
      <c r="A16" s="24" t="s">
        <v>98</v>
      </c>
      <c r="B16" s="29">
        <f>'Résumé sommaire (GNF)'!B16/'Résumé sommaire (USD)'!$B$33</f>
        <v>0</v>
      </c>
      <c r="C16" s="26">
        <f>'Résumé sommaire (GNF)'!C16/'Résumé sommaire (USD)'!$B$33</f>
        <v>0</v>
      </c>
      <c r="D16" s="26">
        <f>'Résumé sommaire (GNF)'!D16/'Résumé sommaire (USD)'!$B$33</f>
        <v>0</v>
      </c>
      <c r="E16" s="26">
        <f>'Résumé sommaire (GNF)'!E16/'Résumé sommaire (USD)'!$B$33</f>
        <v>0</v>
      </c>
    </row>
    <row r="17" spans="1:5">
      <c r="A17" s="24" t="s">
        <v>100</v>
      </c>
      <c r="B17" s="29">
        <f>'Résumé sommaire (GNF)'!B17/'Résumé sommaire (USD)'!$B$33</f>
        <v>0</v>
      </c>
      <c r="C17" s="26">
        <f>'Résumé sommaire (GNF)'!C17/'Résumé sommaire (USD)'!$B$33</f>
        <v>0</v>
      </c>
      <c r="D17" s="26">
        <f>'Résumé sommaire (GNF)'!D17/'Résumé sommaire (USD)'!$B$33</f>
        <v>0</v>
      </c>
      <c r="E17" s="26">
        <f>'Résumé sommaire (GNF)'!E17/'Résumé sommaire (USD)'!$B$33</f>
        <v>0</v>
      </c>
    </row>
    <row r="18" spans="1:5">
      <c r="A18" s="27" t="s">
        <v>240</v>
      </c>
      <c r="B18" s="28">
        <f>'Résumé sommaire (GNF)'!B18/'Résumé sommaire (USD)'!$B$33</f>
        <v>0</v>
      </c>
      <c r="C18" s="28">
        <f>'Résumé sommaire (GNF)'!C18/'Résumé sommaire (USD)'!$B$33</f>
        <v>0</v>
      </c>
      <c r="D18" s="28">
        <f>'Résumé sommaire (GNF)'!D18/'Résumé sommaire (USD)'!$B$33</f>
        <v>0</v>
      </c>
      <c r="E18" s="28">
        <f>'Résumé sommaire (GNF)'!E18/'Résumé sommaire (USD)'!$B$33</f>
        <v>0</v>
      </c>
    </row>
    <row r="19" spans="1:5">
      <c r="A19" s="362" t="s">
        <v>248</v>
      </c>
      <c r="B19" s="362"/>
      <c r="C19" s="362"/>
      <c r="D19" s="362"/>
      <c r="E19" s="362"/>
    </row>
    <row r="20" spans="1:5">
      <c r="A20" s="24" t="s">
        <v>86</v>
      </c>
      <c r="B20" s="25">
        <f>'Résumé sommaire (GNF)'!B20/'Résumé sommaire (USD)'!$B$33</f>
        <v>0</v>
      </c>
      <c r="C20" s="25">
        <f>'Résumé sommaire (GNF)'!C20/'Résumé sommaire (USD)'!$B$33</f>
        <v>0</v>
      </c>
      <c r="D20" s="25">
        <f>'Résumé sommaire (GNF)'!D20/'Résumé sommaire (USD)'!$B$33</f>
        <v>0</v>
      </c>
      <c r="E20" s="25">
        <f>'Résumé sommaire (GNF)'!E20/'Résumé sommaire (USD)'!$B$33</f>
        <v>0</v>
      </c>
    </row>
    <row r="21" spans="1:5">
      <c r="A21" s="24" t="s">
        <v>88</v>
      </c>
      <c r="B21" s="25">
        <f>'Résumé sommaire (GNF)'!B21/'Résumé sommaire (USD)'!$B$33</f>
        <v>0</v>
      </c>
      <c r="C21" s="26">
        <f>'Résumé sommaire (GNF)'!C21/'Résumé sommaire (USD)'!$B$33</f>
        <v>0</v>
      </c>
      <c r="D21" s="30">
        <f>'Résumé sommaire (GNF)'!D21/'Résumé sommaire (USD)'!$B$33</f>
        <v>0</v>
      </c>
      <c r="E21" s="26">
        <f>'Résumé sommaire (GNF)'!E21/'Résumé sommaire (USD)'!$B$33</f>
        <v>0</v>
      </c>
    </row>
    <row r="22" spans="1:5">
      <c r="A22" s="24" t="s">
        <v>90</v>
      </c>
      <c r="B22" s="25">
        <f>'Résumé sommaire (GNF)'!B22/'Résumé sommaire (USD)'!$B$33</f>
        <v>0</v>
      </c>
      <c r="C22" s="26">
        <f>'Résumé sommaire (GNF)'!C22/'Résumé sommaire (USD)'!$B$33</f>
        <v>0</v>
      </c>
      <c r="D22" s="30">
        <f>'Résumé sommaire (GNF)'!D22/'Résumé sommaire (USD)'!$B$33</f>
        <v>0</v>
      </c>
      <c r="E22" s="26">
        <f>'Résumé sommaire (GNF)'!E22/'Résumé sommaire (USD)'!$B$33</f>
        <v>0</v>
      </c>
    </row>
    <row r="23" spans="1:5">
      <c r="A23" s="24" t="s">
        <v>92</v>
      </c>
      <c r="B23" s="25">
        <f>'Résumé sommaire (GNF)'!B23/'Résumé sommaire (USD)'!$B$33</f>
        <v>0</v>
      </c>
      <c r="C23" s="26">
        <f>'Résumé sommaire (GNF)'!C23/'Résumé sommaire (USD)'!$B$33</f>
        <v>0</v>
      </c>
      <c r="D23" s="30">
        <f>'Résumé sommaire (GNF)'!D23/'Résumé sommaire (USD)'!$B$33</f>
        <v>0</v>
      </c>
      <c r="E23" s="26">
        <f>'Résumé sommaire (GNF)'!E23/'Résumé sommaire (USD)'!$B$33</f>
        <v>0</v>
      </c>
    </row>
    <row r="24" spans="1:5">
      <c r="A24" s="27" t="s">
        <v>242</v>
      </c>
      <c r="B24" s="28">
        <f>'Résumé sommaire (GNF)'!B24/'Résumé sommaire (USD)'!$B$33</f>
        <v>0</v>
      </c>
      <c r="C24" s="28">
        <f>'Résumé sommaire (GNF)'!C24/'Résumé sommaire (USD)'!$B$33</f>
        <v>0</v>
      </c>
      <c r="D24" s="28">
        <f>'Résumé sommaire (GNF)'!D24/'Résumé sommaire (USD)'!$B$33</f>
        <v>0</v>
      </c>
      <c r="E24" s="28">
        <f>'Résumé sommaire (GNF)'!E24/'Résumé sommaire (USD)'!$B$33</f>
        <v>0</v>
      </c>
    </row>
    <row r="25" spans="1:5">
      <c r="A25" s="362" t="s">
        <v>243</v>
      </c>
      <c r="B25" s="362"/>
      <c r="C25" s="362"/>
      <c r="D25" s="362"/>
      <c r="E25" s="362"/>
    </row>
    <row r="26" spans="1:5">
      <c r="A26" s="24" t="s">
        <v>112</v>
      </c>
      <c r="B26" s="25">
        <f>'Résumé sommaire (GNF)'!B26/'Résumé sommaire (USD)'!$B$33</f>
        <v>0</v>
      </c>
      <c r="C26" s="26">
        <f>'Résumé sommaire (GNF)'!C26/'Résumé sommaire (USD)'!$B$33</f>
        <v>0</v>
      </c>
      <c r="D26" s="26">
        <f>'Résumé sommaire (GNF)'!D26/'Résumé sommaire (USD)'!$B$33</f>
        <v>0</v>
      </c>
      <c r="E26" s="26">
        <f>'Résumé sommaire (GNF)'!E26/'Résumé sommaire (USD)'!$B$33</f>
        <v>0</v>
      </c>
    </row>
    <row r="27" spans="1:5">
      <c r="A27" s="24" t="s">
        <v>113</v>
      </c>
      <c r="B27" s="25">
        <f>'Résumé sommaire (GNF)'!B27/'Résumé sommaire (USD)'!$B$33</f>
        <v>0</v>
      </c>
      <c r="C27" s="26">
        <f>'Résumé sommaire (GNF)'!C27/'Résumé sommaire (USD)'!$B$33</f>
        <v>0</v>
      </c>
      <c r="D27" s="26">
        <f>'Résumé sommaire (GNF)'!D27/'Résumé sommaire (USD)'!$B$33</f>
        <v>0</v>
      </c>
      <c r="E27" s="26">
        <f>'Résumé sommaire (GNF)'!E27/'Résumé sommaire (USD)'!$B$33</f>
        <v>0</v>
      </c>
    </row>
    <row r="28" spans="1:5">
      <c r="A28" s="24" t="s">
        <v>114</v>
      </c>
      <c r="B28" s="25">
        <f>'Résumé sommaire (GNF)'!B28/'Résumé sommaire (USD)'!$B$33</f>
        <v>0</v>
      </c>
      <c r="C28" s="26">
        <f>'Résumé sommaire (GNF)'!C28/'Résumé sommaire (USD)'!$B$33</f>
        <v>0</v>
      </c>
      <c r="D28" s="26">
        <f>'Résumé sommaire (GNF)'!D28/'Résumé sommaire (USD)'!$B$33</f>
        <v>0</v>
      </c>
      <c r="E28" s="26">
        <f>'Résumé sommaire (GNF)'!E28/'Résumé sommaire (USD)'!$B$33</f>
        <v>0</v>
      </c>
    </row>
    <row r="29" spans="1:5">
      <c r="A29" s="24" t="s">
        <v>115</v>
      </c>
      <c r="B29" s="25">
        <f>'Résumé sommaire (GNF)'!B29/'Résumé sommaire (USD)'!$B$33</f>
        <v>0</v>
      </c>
      <c r="C29" s="26">
        <f>'Résumé sommaire (GNF)'!C29/'Résumé sommaire (USD)'!$B$33</f>
        <v>0</v>
      </c>
      <c r="D29" s="26">
        <f>'Résumé sommaire (GNF)'!D29/'Résumé sommaire (USD)'!$B$33</f>
        <v>0</v>
      </c>
      <c r="E29" s="26">
        <f>'Résumé sommaire (GNF)'!E29/'Résumé sommaire (USD)'!$B$33</f>
        <v>0</v>
      </c>
    </row>
    <row r="30" spans="1:5">
      <c r="A30" s="27" t="s">
        <v>244</v>
      </c>
      <c r="B30" s="28">
        <f>'Résumé sommaire (GNF)'!B30/'Résumé sommaire (USD)'!$B$33</f>
        <v>0</v>
      </c>
      <c r="C30" s="28">
        <f>'Résumé sommaire (GNF)'!C30/'Résumé sommaire (USD)'!$B$33</f>
        <v>0</v>
      </c>
      <c r="D30" s="28">
        <f>'Résumé sommaire (GNF)'!D30/'Résumé sommaire (USD)'!$B$33</f>
        <v>0</v>
      </c>
      <c r="E30" s="28">
        <f>'Résumé sommaire (GNF)'!E30/'Résumé sommaire (USD)'!$B$33</f>
        <v>0</v>
      </c>
    </row>
    <row r="31" spans="1:5">
      <c r="A31" s="31" t="s">
        <v>245</v>
      </c>
      <c r="B31" s="32">
        <f>'Résumé sommaire (GNF)'!B31/'Résumé sommaire (USD)'!$B$33</f>
        <v>277873.94444444444</v>
      </c>
      <c r="C31" s="32">
        <f>'Résumé sommaire (GNF)'!C31/'Résumé sommaire (USD)'!$B$33</f>
        <v>0</v>
      </c>
      <c r="D31" s="32">
        <f>'Résumé sommaire (GNF)'!D31/'Résumé sommaire (USD)'!$B$33</f>
        <v>0</v>
      </c>
      <c r="E31" s="32" t="e">
        <f>'Résumé sommaire (GNF)'!E31/'Résumé sommaire (USD)'!$B$33</f>
        <v>#REF!</v>
      </c>
    </row>
    <row r="33" spans="1:3">
      <c r="A33" t="s">
        <v>249</v>
      </c>
      <c r="B33" s="33">
        <v>9000</v>
      </c>
      <c r="C33" t="s">
        <v>250</v>
      </c>
    </row>
  </sheetData>
  <mergeCells count="8">
    <mergeCell ref="C1:D1"/>
    <mergeCell ref="A3:E3"/>
    <mergeCell ref="A13:E13"/>
    <mergeCell ref="A19:E19"/>
    <mergeCell ref="A25:E25"/>
    <mergeCell ref="A1:A2"/>
    <mergeCell ref="B1:B2"/>
    <mergeCell ref="E1:E2"/>
  </mergeCells>
  <pageMargins left="0.69930555555555596" right="0.69930555555555596"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BZ33"/>
  <sheetViews>
    <sheetView showGridLines="0" view="pageBreakPreview" topLeftCell="BI1" zoomScale="96" zoomScaleNormal="100" zoomScaleSheetLayoutView="96" workbookViewId="0">
      <pane ySplit="3" topLeftCell="A4" activePane="bottomLeft" state="frozen"/>
      <selection pane="bottomLeft" sqref="A1:A3"/>
    </sheetView>
  </sheetViews>
  <sheetFormatPr baseColWidth="10" defaultColWidth="9.140625" defaultRowHeight="12.75"/>
  <cols>
    <col min="1" max="1" width="4.42578125" style="15" customWidth="1"/>
    <col min="2" max="2" width="21.140625" style="15" customWidth="1"/>
    <col min="3" max="3" width="28" style="15" customWidth="1"/>
    <col min="4" max="8" width="11" style="15" customWidth="1"/>
    <col min="9" max="18" width="9.85546875" style="16" customWidth="1"/>
    <col min="19" max="23" width="11" style="15" customWidth="1"/>
    <col min="24" max="33" width="9.85546875" style="16" customWidth="1"/>
    <col min="34" max="38" width="11" style="15" customWidth="1"/>
    <col min="39" max="48" width="9.85546875" style="16" customWidth="1"/>
    <col min="49" max="53" width="11" style="15" customWidth="1"/>
    <col min="54" max="63" width="9.85546875" style="16" customWidth="1"/>
    <col min="64" max="68" width="11" style="15" customWidth="1"/>
    <col min="69" max="78" width="9.85546875" style="16" customWidth="1"/>
    <col min="79" max="79" width="9.140625" style="16" customWidth="1"/>
    <col min="80" max="16384" width="9.140625" style="16"/>
  </cols>
  <sheetData>
    <row r="1" spans="1:78" s="5" customFormat="1" ht="15" customHeight="1">
      <c r="A1" s="295" t="s">
        <v>51</v>
      </c>
      <c r="B1" s="296" t="s">
        <v>52</v>
      </c>
      <c r="C1" s="295" t="s">
        <v>53</v>
      </c>
      <c r="D1" s="363">
        <f>'Page d''accueil'!F5</f>
        <v>2018</v>
      </c>
      <c r="E1" s="364"/>
      <c r="F1" s="364"/>
      <c r="G1" s="364"/>
      <c r="H1" s="364"/>
      <c r="I1" s="364"/>
      <c r="J1" s="364"/>
      <c r="K1" s="364"/>
      <c r="L1" s="364"/>
      <c r="M1" s="364"/>
      <c r="N1" s="364"/>
      <c r="O1" s="364"/>
      <c r="P1" s="364"/>
      <c r="Q1" s="364"/>
      <c r="R1" s="365"/>
      <c r="S1" s="363">
        <f>D1+1</f>
        <v>2019</v>
      </c>
      <c r="T1" s="364"/>
      <c r="U1" s="364"/>
      <c r="V1" s="364"/>
      <c r="W1" s="364"/>
      <c r="X1" s="364"/>
      <c r="Y1" s="364"/>
      <c r="Z1" s="364"/>
      <c r="AA1" s="364"/>
      <c r="AB1" s="364"/>
      <c r="AC1" s="364"/>
      <c r="AD1" s="364"/>
      <c r="AE1" s="364"/>
      <c r="AF1" s="364"/>
      <c r="AG1" s="365"/>
      <c r="AH1" s="363">
        <f>S1+1</f>
        <v>2020</v>
      </c>
      <c r="AI1" s="364"/>
      <c r="AJ1" s="364"/>
      <c r="AK1" s="364"/>
      <c r="AL1" s="364"/>
      <c r="AM1" s="364"/>
      <c r="AN1" s="364"/>
      <c r="AO1" s="364"/>
      <c r="AP1" s="364"/>
      <c r="AQ1" s="364"/>
      <c r="AR1" s="364"/>
      <c r="AS1" s="364"/>
      <c r="AT1" s="364"/>
      <c r="AU1" s="364"/>
      <c r="AV1" s="365"/>
      <c r="AW1" s="363">
        <f>AH1+1</f>
        <v>2021</v>
      </c>
      <c r="AX1" s="364"/>
      <c r="AY1" s="364"/>
      <c r="AZ1" s="364"/>
      <c r="BA1" s="364"/>
      <c r="BB1" s="364"/>
      <c r="BC1" s="364"/>
      <c r="BD1" s="364"/>
      <c r="BE1" s="364"/>
      <c r="BF1" s="364"/>
      <c r="BG1" s="364"/>
      <c r="BH1" s="364"/>
      <c r="BI1" s="364"/>
      <c r="BJ1" s="364"/>
      <c r="BK1" s="365"/>
      <c r="BL1" s="363">
        <f>AW1+1</f>
        <v>2022</v>
      </c>
      <c r="BM1" s="364"/>
      <c r="BN1" s="364"/>
      <c r="BO1" s="364"/>
      <c r="BP1" s="364"/>
      <c r="BQ1" s="364"/>
      <c r="BR1" s="364"/>
      <c r="BS1" s="364"/>
      <c r="BT1" s="364"/>
      <c r="BU1" s="364"/>
      <c r="BV1" s="364"/>
      <c r="BW1" s="364"/>
      <c r="BX1" s="364"/>
      <c r="BY1" s="364"/>
      <c r="BZ1" s="365"/>
    </row>
    <row r="2" spans="1:78" s="5" customFormat="1" ht="15" customHeight="1">
      <c r="A2" s="295"/>
      <c r="B2" s="297"/>
      <c r="C2" s="295"/>
      <c r="D2" s="363" t="s">
        <v>70</v>
      </c>
      <c r="E2" s="364"/>
      <c r="F2" s="365"/>
      <c r="G2" s="363" t="s">
        <v>251</v>
      </c>
      <c r="H2" s="365"/>
      <c r="I2" s="363" t="s">
        <v>252</v>
      </c>
      <c r="J2" s="365"/>
      <c r="K2" s="295" t="s">
        <v>64</v>
      </c>
      <c r="L2" s="295"/>
      <c r="M2" s="295"/>
      <c r="N2" s="363" t="s">
        <v>73</v>
      </c>
      <c r="O2" s="364"/>
      <c r="P2" s="364"/>
      <c r="Q2" s="365"/>
      <c r="R2" s="296" t="s">
        <v>253</v>
      </c>
      <c r="S2" s="363" t="s">
        <v>70</v>
      </c>
      <c r="T2" s="364"/>
      <c r="U2" s="365"/>
      <c r="V2" s="363" t="s">
        <v>251</v>
      </c>
      <c r="W2" s="365"/>
      <c r="X2" s="363" t="s">
        <v>252</v>
      </c>
      <c r="Y2" s="365"/>
      <c r="Z2" s="295" t="s">
        <v>64</v>
      </c>
      <c r="AA2" s="295"/>
      <c r="AB2" s="295"/>
      <c r="AC2" s="363" t="s">
        <v>73</v>
      </c>
      <c r="AD2" s="364"/>
      <c r="AE2" s="364"/>
      <c r="AF2" s="365"/>
      <c r="AG2" s="296" t="s">
        <v>253</v>
      </c>
      <c r="AH2" s="363" t="s">
        <v>70</v>
      </c>
      <c r="AI2" s="364"/>
      <c r="AJ2" s="365"/>
      <c r="AK2" s="363" t="s">
        <v>251</v>
      </c>
      <c r="AL2" s="365"/>
      <c r="AM2" s="363" t="s">
        <v>252</v>
      </c>
      <c r="AN2" s="365"/>
      <c r="AO2" s="295" t="s">
        <v>64</v>
      </c>
      <c r="AP2" s="295"/>
      <c r="AQ2" s="295"/>
      <c r="AR2" s="363" t="s">
        <v>73</v>
      </c>
      <c r="AS2" s="364"/>
      <c r="AT2" s="364"/>
      <c r="AU2" s="365"/>
      <c r="AV2" s="296" t="s">
        <v>253</v>
      </c>
      <c r="AW2" s="363" t="s">
        <v>70</v>
      </c>
      <c r="AX2" s="364"/>
      <c r="AY2" s="365"/>
      <c r="AZ2" s="363" t="s">
        <v>251</v>
      </c>
      <c r="BA2" s="365"/>
      <c r="BB2" s="363" t="s">
        <v>252</v>
      </c>
      <c r="BC2" s="365"/>
      <c r="BD2" s="295" t="s">
        <v>64</v>
      </c>
      <c r="BE2" s="295"/>
      <c r="BF2" s="295"/>
      <c r="BG2" s="363" t="s">
        <v>73</v>
      </c>
      <c r="BH2" s="364"/>
      <c r="BI2" s="364"/>
      <c r="BJ2" s="365"/>
      <c r="BK2" s="296" t="s">
        <v>253</v>
      </c>
      <c r="BL2" s="295" t="s">
        <v>70</v>
      </c>
      <c r="BM2" s="295"/>
      <c r="BN2" s="295"/>
      <c r="BO2" s="295" t="s">
        <v>251</v>
      </c>
      <c r="BP2" s="295"/>
      <c r="BQ2" s="295" t="s">
        <v>252</v>
      </c>
      <c r="BR2" s="295"/>
      <c r="BS2" s="295" t="s">
        <v>64</v>
      </c>
      <c r="BT2" s="295"/>
      <c r="BU2" s="295"/>
      <c r="BV2" s="295" t="s">
        <v>73</v>
      </c>
      <c r="BW2" s="295"/>
      <c r="BX2" s="295"/>
      <c r="BY2" s="295"/>
      <c r="BZ2" s="295" t="s">
        <v>253</v>
      </c>
    </row>
    <row r="3" spans="1:78" s="5" customFormat="1" ht="14.25" customHeight="1">
      <c r="A3" s="295"/>
      <c r="B3" s="298"/>
      <c r="C3" s="295"/>
      <c r="D3" s="17" t="s">
        <v>254</v>
      </c>
      <c r="E3" s="17" t="s">
        <v>60</v>
      </c>
      <c r="F3" s="17" t="s">
        <v>255</v>
      </c>
      <c r="G3" s="17" t="s">
        <v>60</v>
      </c>
      <c r="H3" s="17" t="s">
        <v>255</v>
      </c>
      <c r="I3" s="17" t="s">
        <v>60</v>
      </c>
      <c r="J3" s="17" t="s">
        <v>255</v>
      </c>
      <c r="K3" s="17" t="s">
        <v>59</v>
      </c>
      <c r="L3" s="17" t="s">
        <v>60</v>
      </c>
      <c r="M3" s="17" t="s">
        <v>255</v>
      </c>
      <c r="N3" s="17" t="s">
        <v>256</v>
      </c>
      <c r="O3" s="17" t="s">
        <v>257</v>
      </c>
      <c r="P3" s="17" t="s">
        <v>60</v>
      </c>
      <c r="Q3" s="17" t="s">
        <v>255</v>
      </c>
      <c r="R3" s="298"/>
      <c r="S3" s="17" t="s">
        <v>254</v>
      </c>
      <c r="T3" s="17" t="s">
        <v>60</v>
      </c>
      <c r="U3" s="17" t="s">
        <v>255</v>
      </c>
      <c r="V3" s="17" t="s">
        <v>60</v>
      </c>
      <c r="W3" s="17" t="s">
        <v>255</v>
      </c>
      <c r="X3" s="17" t="s">
        <v>60</v>
      </c>
      <c r="Y3" s="17" t="s">
        <v>255</v>
      </c>
      <c r="Z3" s="17" t="s">
        <v>59</v>
      </c>
      <c r="AA3" s="17" t="s">
        <v>60</v>
      </c>
      <c r="AB3" s="17" t="s">
        <v>255</v>
      </c>
      <c r="AC3" s="17" t="s">
        <v>256</v>
      </c>
      <c r="AD3" s="17" t="s">
        <v>257</v>
      </c>
      <c r="AE3" s="17" t="s">
        <v>60</v>
      </c>
      <c r="AF3" s="17" t="s">
        <v>255</v>
      </c>
      <c r="AG3" s="298"/>
      <c r="AH3" s="17" t="s">
        <v>254</v>
      </c>
      <c r="AI3" s="17" t="s">
        <v>60</v>
      </c>
      <c r="AJ3" s="17" t="s">
        <v>255</v>
      </c>
      <c r="AK3" s="17" t="s">
        <v>60</v>
      </c>
      <c r="AL3" s="17" t="s">
        <v>255</v>
      </c>
      <c r="AM3" s="17" t="s">
        <v>60</v>
      </c>
      <c r="AN3" s="17" t="s">
        <v>255</v>
      </c>
      <c r="AO3" s="17" t="s">
        <v>59</v>
      </c>
      <c r="AP3" s="17" t="s">
        <v>60</v>
      </c>
      <c r="AQ3" s="17" t="s">
        <v>255</v>
      </c>
      <c r="AR3" s="17" t="s">
        <v>256</v>
      </c>
      <c r="AS3" s="17" t="s">
        <v>257</v>
      </c>
      <c r="AT3" s="17" t="s">
        <v>60</v>
      </c>
      <c r="AU3" s="17" t="s">
        <v>255</v>
      </c>
      <c r="AV3" s="298"/>
      <c r="AW3" s="17" t="s">
        <v>254</v>
      </c>
      <c r="AX3" s="17" t="s">
        <v>60</v>
      </c>
      <c r="AY3" s="17" t="s">
        <v>255</v>
      </c>
      <c r="AZ3" s="17" t="s">
        <v>60</v>
      </c>
      <c r="BA3" s="17" t="s">
        <v>255</v>
      </c>
      <c r="BB3" s="17" t="s">
        <v>60</v>
      </c>
      <c r="BC3" s="17" t="s">
        <v>255</v>
      </c>
      <c r="BD3" s="17" t="s">
        <v>59</v>
      </c>
      <c r="BE3" s="17" t="s">
        <v>60</v>
      </c>
      <c r="BF3" s="17" t="s">
        <v>255</v>
      </c>
      <c r="BG3" s="17" t="s">
        <v>256</v>
      </c>
      <c r="BH3" s="17" t="s">
        <v>257</v>
      </c>
      <c r="BI3" s="17" t="s">
        <v>60</v>
      </c>
      <c r="BJ3" s="17" t="s">
        <v>255</v>
      </c>
      <c r="BK3" s="298"/>
      <c r="BL3" s="17" t="s">
        <v>254</v>
      </c>
      <c r="BM3" s="17" t="s">
        <v>60</v>
      </c>
      <c r="BN3" s="17" t="s">
        <v>255</v>
      </c>
      <c r="BO3" s="17" t="s">
        <v>60</v>
      </c>
      <c r="BP3" s="17" t="s">
        <v>255</v>
      </c>
      <c r="BQ3" s="17" t="s">
        <v>60</v>
      </c>
      <c r="BR3" s="17" t="s">
        <v>255</v>
      </c>
      <c r="BS3" s="17" t="s">
        <v>59</v>
      </c>
      <c r="BT3" s="17" t="s">
        <v>60</v>
      </c>
      <c r="BU3" s="17" t="s">
        <v>255</v>
      </c>
      <c r="BV3" s="17" t="s">
        <v>256</v>
      </c>
      <c r="BW3" s="17" t="s">
        <v>257</v>
      </c>
      <c r="BX3" s="17" t="s">
        <v>60</v>
      </c>
      <c r="BY3" s="17" t="s">
        <v>255</v>
      </c>
      <c r="BZ3" s="295"/>
    </row>
    <row r="4" spans="1:78" s="5" customFormat="1" ht="12" customHeight="1">
      <c r="A4" s="19">
        <v>1</v>
      </c>
      <c r="B4" s="21" t="str">
        <f>'Plan annuel Différentes Maladie'!B4</f>
        <v>BOKE</v>
      </c>
      <c r="C4" s="21" t="str">
        <f>Population!C4</f>
        <v>Boffa</v>
      </c>
      <c r="D4" s="22">
        <f>IF(SUM('Plan annuel Différentes Maladie'!K:K)&gt;0,0,'Plan annuel Différentes Maladie'!T4*Population!J4)</f>
        <v>0</v>
      </c>
      <c r="E4" s="22">
        <f>'Plan annuel Différentes Maladie'!T4*Population!K4</f>
        <v>0</v>
      </c>
      <c r="F4" s="22">
        <f>'Plan annuel Différentes Maladie'!T4*Population!D4*'Page d''accueil'!$F$16</f>
        <v>0</v>
      </c>
      <c r="G4" s="22">
        <f>'Plan annuel Différentes Maladie'!AA4*Population!F4*'Page d''accueil'!$F$15</f>
        <v>0</v>
      </c>
      <c r="H4" s="22">
        <f>'Plan annuel Différentes Maladie'!AA4*Population!F4*'Page d''accueil'!$F$16</f>
        <v>0</v>
      </c>
      <c r="I4" s="22">
        <f>'Plan annuel Différentes Maladie'!AH4*Population!K4</f>
        <v>0</v>
      </c>
      <c r="J4" s="22">
        <f>'Plan annuel Différentes Maladie'!AH4*Population!H4</f>
        <v>0</v>
      </c>
      <c r="K4" s="22">
        <f>'Plan annuel Différentes Maladie'!AO4*Population!J4</f>
        <v>0</v>
      </c>
      <c r="L4" s="22">
        <f>'Plan annuel Différentes Maladie'!AO4*Population!K4</f>
        <v>0</v>
      </c>
      <c r="M4" s="22">
        <f>'Plan annuel Différentes Maladie'!AO4*Population!I4</f>
        <v>0</v>
      </c>
      <c r="N4" s="22">
        <f>'Plan annuel Différentes Maladie'!AV4*Population!G4*'Page d''accueil'!$J$14</f>
        <v>0</v>
      </c>
      <c r="O4" s="22">
        <f>'Plan annuel Différentes Maladie'!AV4*Population!G4*'Page d''accueil'!$J$15</f>
        <v>0</v>
      </c>
      <c r="P4" s="22">
        <f>'Plan annuel Différentes Maladie'!AV4*Population!G4*'Page d''accueil'!$F$15</f>
        <v>0</v>
      </c>
      <c r="Q4" s="22">
        <f>'Plan annuel Différentes Maladie'!AV4*Population!G4*'Page d''accueil'!$F$16</f>
        <v>0</v>
      </c>
      <c r="R4" s="22">
        <f>MAX('Pop Cibles'!D4,'Pop Cibles'!K4,('Pop Cibles'!N4+'Pop Cibles'!O4))+MAX('Pop Cibles'!E4,'Pop Cibles'!G4,'Pop Cibles'!I4,'Pop Cibles'!L4,'Pop Cibles'!P4)+MAX('Pop Cibles'!F4,'Pop Cibles'!H4,'Pop Cibles'!J4,'Pop Cibles'!M4,'Pop Cibles'!Q4)</f>
        <v>0</v>
      </c>
      <c r="S4" s="22">
        <f>IF(SUM('Plan annuel Différentes Maladie'!K:K)&gt;0,0,'Plan annuel Différentes Maladie'!U4*Population!T4)</f>
        <v>0</v>
      </c>
      <c r="T4" s="22">
        <f>'Plan annuel Différentes Maladie'!U4*Population!U4</f>
        <v>0</v>
      </c>
      <c r="U4" s="22">
        <f>'Plan annuel Différentes Maladie'!U4*Population!L4*'Page d''accueil'!$F$16</f>
        <v>0</v>
      </c>
      <c r="V4" s="22">
        <f>'Plan annuel Différentes Maladie'!AB4*Population!N4*'Page d''accueil'!$F$15</f>
        <v>0</v>
      </c>
      <c r="W4" s="22">
        <f>'Plan annuel Différentes Maladie'!AB4*Population!N4*'Page d''accueil'!$F$16</f>
        <v>0</v>
      </c>
      <c r="X4" s="22">
        <f>'Plan annuel Différentes Maladie'!AI4*Population!U4</f>
        <v>0</v>
      </c>
      <c r="Y4" s="22">
        <f>'Plan annuel Différentes Maladie'!AI4*Population!R4</f>
        <v>0</v>
      </c>
      <c r="Z4" s="22">
        <f>'Plan annuel Différentes Maladie'!AP4*Population!T4</f>
        <v>0</v>
      </c>
      <c r="AA4" s="22">
        <f>'Plan annuel Différentes Maladie'!AP4*Population!U4</f>
        <v>0</v>
      </c>
      <c r="AB4" s="22">
        <f>'Plan annuel Différentes Maladie'!AP4*Population!S4</f>
        <v>0</v>
      </c>
      <c r="AC4" s="22">
        <f>'Plan annuel Différentes Maladie'!AW4*Population!Q4*'Page d''accueil'!$J$14</f>
        <v>0</v>
      </c>
      <c r="AD4" s="22">
        <f>'Plan annuel Différentes Maladie'!AW4*Population!Q4*'Page d''accueil'!$J$15</f>
        <v>0</v>
      </c>
      <c r="AE4" s="22">
        <f>'Plan annuel Différentes Maladie'!AW4*Population!Q4*'Page d''accueil'!$F$15</f>
        <v>0</v>
      </c>
      <c r="AF4" s="22">
        <f>'Plan annuel Différentes Maladie'!AW4*Population!Q4*'Page d''accueil'!$F$16</f>
        <v>0</v>
      </c>
      <c r="AG4" s="22">
        <f>MAX('Pop Cibles'!S4,'Pop Cibles'!Z4,('Pop Cibles'!AC4+'Pop Cibles'!AD4))+MAX('Pop Cibles'!T4,'Pop Cibles'!V4,'Pop Cibles'!X4,'Pop Cibles'!AA4,'Pop Cibles'!AE4)+MAX('Pop Cibles'!U4,'Pop Cibles'!W4,'Pop Cibles'!Y4,'Pop Cibles'!AB4,'Pop Cibles'!AF4)</f>
        <v>0</v>
      </c>
      <c r="AH4" s="22">
        <f>IF(SUM('Plan annuel Différentes Maladie'!K:K)&gt;0,0,'Plan annuel Différentes Maladie'!V4*Population!AD4)</f>
        <v>0</v>
      </c>
      <c r="AI4" s="22">
        <f>'Plan annuel Différentes Maladie'!V4*Population!AE4</f>
        <v>0</v>
      </c>
      <c r="AJ4" s="22">
        <f>'Plan annuel Différentes Maladie'!V4*Population!V4*'Page d''accueil'!$F$16</f>
        <v>0</v>
      </c>
      <c r="AK4" s="22">
        <f>'Plan annuel Différentes Maladie'!AC4*Population!X4*'Page d''accueil'!$F$15</f>
        <v>0</v>
      </c>
      <c r="AL4" s="22">
        <f>'Plan annuel Différentes Maladie'!AC4*Population!X4*'Page d''accueil'!$F$16</f>
        <v>0</v>
      </c>
      <c r="AM4" s="22">
        <f>'Plan annuel Différentes Maladie'!AJ4*Population!AE4</f>
        <v>0</v>
      </c>
      <c r="AN4" s="22">
        <f>'Plan annuel Différentes Maladie'!AJ4*Population!AB4</f>
        <v>0</v>
      </c>
      <c r="AO4" s="22">
        <f>'Plan annuel Différentes Maladie'!AQ4*Population!AD4</f>
        <v>0</v>
      </c>
      <c r="AP4" s="22">
        <f>'Plan annuel Différentes Maladie'!AQ4*Population!AE4</f>
        <v>0</v>
      </c>
      <c r="AQ4" s="22">
        <f>'Plan annuel Différentes Maladie'!AQ4*Population!AC4</f>
        <v>0</v>
      </c>
      <c r="AR4" s="22">
        <f>'Plan annuel Différentes Maladie'!AX4*Population!Y4*'Page d''accueil'!$J$14</f>
        <v>0</v>
      </c>
      <c r="AS4" s="22">
        <f>'Plan annuel Différentes Maladie'!AX4*Population!Y4*'Page d''accueil'!$J$15</f>
        <v>0</v>
      </c>
      <c r="AT4" s="22">
        <f>'Plan annuel Différentes Maladie'!AX4*Population!Y4*'Page d''accueil'!$F$15</f>
        <v>0</v>
      </c>
      <c r="AU4" s="22">
        <f>'Plan annuel Différentes Maladie'!AX4*Population!Y4*'Page d''accueil'!$F$16</f>
        <v>0</v>
      </c>
      <c r="AV4" s="22">
        <f>MAX('Pop Cibles'!AH4,'Pop Cibles'!AO4,('Pop Cibles'!AR4+'Pop Cibles'!AS4))+MAX('Pop Cibles'!AI4,'Pop Cibles'!AK4,'Pop Cibles'!AM4,'Pop Cibles'!AP4,'Pop Cibles'!AT4)+MAX('Pop Cibles'!AJ4,'Pop Cibles'!AL4,'Pop Cibles'!AN4,'Pop Cibles'!AQ4,'Pop Cibles'!AU4)</f>
        <v>0</v>
      </c>
      <c r="AW4" s="22">
        <f>IF(SUM('Plan annuel Différentes Maladie'!K:K)&gt;0,0,'Plan annuel Différentes Maladie'!W4*Population!AN4)</f>
        <v>0</v>
      </c>
      <c r="AX4" s="22">
        <f>'Plan annuel Différentes Maladie'!W4*Population!AO4</f>
        <v>0</v>
      </c>
      <c r="AY4" s="22">
        <f>'Plan annuel Différentes Maladie'!W4*Population!AF4*'Page d''accueil'!$F$16</f>
        <v>0</v>
      </c>
      <c r="AZ4" s="22">
        <f>'Plan annuel Différentes Maladie'!AD4*Population!AH4*'Page d''accueil'!$F$15</f>
        <v>0</v>
      </c>
      <c r="BA4" s="22">
        <f>'Plan annuel Différentes Maladie'!AD4*Population!AH4*'Page d''accueil'!$F$16</f>
        <v>0</v>
      </c>
      <c r="BB4" s="22">
        <f>'Plan annuel Différentes Maladie'!AK4*Population!AO4</f>
        <v>0</v>
      </c>
      <c r="BC4" s="22">
        <f>'Plan annuel Différentes Maladie'!AK4*Population!AL4</f>
        <v>0</v>
      </c>
      <c r="BD4" s="22">
        <f>'Plan annuel Différentes Maladie'!AR4*Population!AN4</f>
        <v>0</v>
      </c>
      <c r="BE4" s="22">
        <f>'Plan annuel Différentes Maladie'!AR4*Population!AO4</f>
        <v>0</v>
      </c>
      <c r="BF4" s="22">
        <f>'Plan annuel Différentes Maladie'!AR4*Population!AM4</f>
        <v>0</v>
      </c>
      <c r="BG4" s="22">
        <f>'Plan annuel Différentes Maladie'!AY4*Population!AI4*'Page d''accueil'!$J$14</f>
        <v>0</v>
      </c>
      <c r="BH4" s="22">
        <f>'Plan annuel Différentes Maladie'!AY4*Population!AI4*'Page d''accueil'!$J$15</f>
        <v>0</v>
      </c>
      <c r="BI4" s="22">
        <f>'Plan annuel Différentes Maladie'!AY4*Population!AI4*'Page d''accueil'!$F$15</f>
        <v>0</v>
      </c>
      <c r="BJ4" s="22">
        <f>'Plan annuel Différentes Maladie'!AY4*Population!AI4*'Page d''accueil'!$F$16</f>
        <v>0</v>
      </c>
      <c r="BK4" s="22">
        <f>MAX('Pop Cibles'!AW4,'Pop Cibles'!BD4,('Pop Cibles'!BG4+'Pop Cibles'!BH4))+MAX('Pop Cibles'!AX4,'Pop Cibles'!AZ4,'Pop Cibles'!BB4,'Pop Cibles'!BE4,'Pop Cibles'!BI4)+MAX('Pop Cibles'!AY4,'Pop Cibles'!BA4,'Pop Cibles'!BC4,'Pop Cibles'!BF4,'Pop Cibles'!BJ4)</f>
        <v>0</v>
      </c>
      <c r="BL4" s="22">
        <f>IF(SUM('Plan annuel Différentes Maladie'!K:K)&gt;0,0,'Plan annuel Différentes Maladie'!X4*Population!AX4)</f>
        <v>0</v>
      </c>
      <c r="BM4" s="22">
        <f>'Plan annuel Différentes Maladie'!X4*Population!AY4</f>
        <v>0</v>
      </c>
      <c r="BN4" s="22">
        <f>'Plan annuel Différentes Maladie'!X4*Population!AP4*'Page d''accueil'!$F$16</f>
        <v>0</v>
      </c>
      <c r="BO4" s="22">
        <f>'Plan annuel Différentes Maladie'!AE4*Population!AR4*'Page d''accueil'!$F$15</f>
        <v>0</v>
      </c>
      <c r="BP4" s="22">
        <f>'Plan annuel Différentes Maladie'!AE4*Population!AR4*'Page d''accueil'!$F$16</f>
        <v>0</v>
      </c>
      <c r="BQ4" s="22">
        <f>'Plan annuel Différentes Maladie'!AL4*Population!AY4</f>
        <v>0</v>
      </c>
      <c r="BR4" s="22">
        <f>'Plan annuel Différentes Maladie'!AL4*Population!AV4</f>
        <v>0</v>
      </c>
      <c r="BS4" s="22">
        <f>'Plan annuel Différentes Maladie'!AS4*Population!AX4</f>
        <v>0</v>
      </c>
      <c r="BT4" s="22">
        <f>'Plan annuel Différentes Maladie'!AS4*Population!AY4</f>
        <v>0</v>
      </c>
      <c r="BU4" s="22">
        <f>'Plan annuel Différentes Maladie'!AS4*Population!AW4</f>
        <v>0</v>
      </c>
      <c r="BV4" s="22">
        <f>'Plan annuel Différentes Maladie'!AZ4*Population!AS4*'Page d''accueil'!$J$14</f>
        <v>0</v>
      </c>
      <c r="BW4" s="22">
        <f>'Plan annuel Différentes Maladie'!AZ4*Population!AS4*'Page d''accueil'!$J$15</f>
        <v>0</v>
      </c>
      <c r="BX4" s="22">
        <f>'Plan annuel Différentes Maladie'!AZ4*Population!AS4*'Page d''accueil'!$F$15</f>
        <v>0</v>
      </c>
      <c r="BY4" s="22">
        <f>'Plan annuel Différentes Maladie'!AZ4*Population!AS4*'Page d''accueil'!$F$16</f>
        <v>0</v>
      </c>
      <c r="BZ4" s="22">
        <f>MAX('Pop Cibles'!BL4,'Pop Cibles'!BS4,('Pop Cibles'!BV4+'Pop Cibles'!BW4))+MAX('Pop Cibles'!BM4,'Pop Cibles'!BO4,'Pop Cibles'!BQ4,'Pop Cibles'!BT4,'Pop Cibles'!BX4)+MAX('Pop Cibles'!BN4,'Pop Cibles'!BP4,'Pop Cibles'!BR4,'Pop Cibles'!BU4,'Pop Cibles'!BY4)</f>
        <v>0</v>
      </c>
    </row>
    <row r="5" spans="1:78" s="5" customFormat="1" ht="12" customHeight="1">
      <c r="A5" s="19">
        <v>2</v>
      </c>
      <c r="B5" s="21" t="str">
        <f>'Plan annuel Différentes Maladie'!B5</f>
        <v>BOKE</v>
      </c>
      <c r="C5" s="21" t="str">
        <f>Population!C5</f>
        <v>Boké</v>
      </c>
      <c r="D5" s="22">
        <f>IF(SUM('Plan annuel Différentes Maladie'!K:K)&gt;0,0,'Plan annuel Différentes Maladie'!T5*Population!J5)</f>
        <v>0</v>
      </c>
      <c r="E5" s="22">
        <f>'Plan annuel Différentes Maladie'!T5*Population!K5</f>
        <v>125376</v>
      </c>
      <c r="F5" s="22">
        <f>'Plan annuel Différentes Maladie'!T5*Population!D5*'Page d''accueil'!$F$16</f>
        <v>275827.19999999995</v>
      </c>
      <c r="G5" s="22">
        <f>'Plan annuel Différentes Maladie'!AA5*Population!F5*'Page d''accueil'!$F$15</f>
        <v>0</v>
      </c>
      <c r="H5" s="22">
        <f>'Plan annuel Différentes Maladie'!AA5*Population!F5*'Page d''accueil'!$F$16</f>
        <v>0</v>
      </c>
      <c r="I5" s="22">
        <f>'Plan annuel Différentes Maladie'!AH5*Population!K5</f>
        <v>0</v>
      </c>
      <c r="J5" s="22">
        <f>'Plan annuel Différentes Maladie'!AH5*Population!H5</f>
        <v>0</v>
      </c>
      <c r="K5" s="22">
        <f>'Plan annuel Différentes Maladie'!AO5*Population!J5</f>
        <v>0</v>
      </c>
      <c r="L5" s="22">
        <f>'Plan annuel Différentes Maladie'!AO5*Population!K5</f>
        <v>0</v>
      </c>
      <c r="M5" s="22">
        <f>'Plan annuel Différentes Maladie'!AO5*Population!I5</f>
        <v>0</v>
      </c>
      <c r="N5" s="22">
        <f>'Plan annuel Différentes Maladie'!AV5*Population!G5*'Page d''accueil'!$J$14</f>
        <v>0</v>
      </c>
      <c r="O5" s="22">
        <f>'Plan annuel Différentes Maladie'!AV5*Population!G5*'Page d''accueil'!$J$15</f>
        <v>0</v>
      </c>
      <c r="P5" s="22">
        <f>'Plan annuel Différentes Maladie'!AV5*Population!G5*'Page d''accueil'!$F$15</f>
        <v>0</v>
      </c>
      <c r="Q5" s="22">
        <f>'Plan annuel Différentes Maladie'!AV5*Population!G5*'Page d''accueil'!$F$16</f>
        <v>0</v>
      </c>
      <c r="R5" s="22">
        <f>MAX('Pop Cibles'!D5,'Pop Cibles'!K5,('Pop Cibles'!N5+'Pop Cibles'!O5))+MAX('Pop Cibles'!E5,'Pop Cibles'!G5,'Pop Cibles'!I5,'Pop Cibles'!L5,'Pop Cibles'!P5)+MAX('Pop Cibles'!F5,'Pop Cibles'!H5,'Pop Cibles'!J5,'Pop Cibles'!M5,'Pop Cibles'!Q5)</f>
        <v>401203.19999999995</v>
      </c>
      <c r="S5" s="22">
        <f>IF(SUM('Plan annuel Différentes Maladie'!K:K)&gt;0,0,'Plan annuel Différentes Maladie'!U5*Population!T5)</f>
        <v>0</v>
      </c>
      <c r="T5" s="22">
        <f>'Plan annuel Différentes Maladie'!U5*Population!U5</f>
        <v>128761.15199999999</v>
      </c>
      <c r="U5" s="22">
        <f>'Plan annuel Différentes Maladie'!U5*Population!L5*'Page d''accueil'!$F$16</f>
        <v>283274.53439999995</v>
      </c>
      <c r="V5" s="22">
        <f>'Plan annuel Différentes Maladie'!AB5*Population!N5*'Page d''accueil'!$F$15</f>
        <v>0</v>
      </c>
      <c r="W5" s="22">
        <f>'Plan annuel Différentes Maladie'!AB5*Population!N5*'Page d''accueil'!$F$16</f>
        <v>0</v>
      </c>
      <c r="X5" s="22">
        <f>'Plan annuel Différentes Maladie'!AI5*Population!U5</f>
        <v>0</v>
      </c>
      <c r="Y5" s="22">
        <f>'Plan annuel Différentes Maladie'!AI5*Population!R5</f>
        <v>0</v>
      </c>
      <c r="Z5" s="22">
        <f>'Plan annuel Différentes Maladie'!AP5*Population!T5</f>
        <v>0</v>
      </c>
      <c r="AA5" s="22">
        <f>'Plan annuel Différentes Maladie'!AP5*Population!U5</f>
        <v>0</v>
      </c>
      <c r="AB5" s="22">
        <f>'Plan annuel Différentes Maladie'!AP5*Population!S5</f>
        <v>0</v>
      </c>
      <c r="AC5" s="22">
        <f>'Plan annuel Différentes Maladie'!AW5*Population!Q5*'Page d''accueil'!$J$14</f>
        <v>0</v>
      </c>
      <c r="AD5" s="22">
        <f>'Plan annuel Différentes Maladie'!AW5*Population!Q5*'Page d''accueil'!$J$15</f>
        <v>0</v>
      </c>
      <c r="AE5" s="22">
        <f>'Plan annuel Différentes Maladie'!AW5*Population!Q5*'Page d''accueil'!$F$15</f>
        <v>0</v>
      </c>
      <c r="AF5" s="22">
        <f>'Plan annuel Différentes Maladie'!AW5*Population!Q5*'Page d''accueil'!$F$16</f>
        <v>0</v>
      </c>
      <c r="AG5" s="22">
        <f>MAX('Pop Cibles'!S5,'Pop Cibles'!Z5,('Pop Cibles'!AC5+'Pop Cibles'!AD5))+MAX('Pop Cibles'!T5,'Pop Cibles'!V5,'Pop Cibles'!X5,'Pop Cibles'!AA5,'Pop Cibles'!AE5)+MAX('Pop Cibles'!U5,'Pop Cibles'!W5,'Pop Cibles'!Y5,'Pop Cibles'!AB5,'Pop Cibles'!AF5)</f>
        <v>412035.68639999995</v>
      </c>
      <c r="AH5" s="22">
        <f>IF(SUM('Plan annuel Différentes Maladie'!K:K)&gt;0,0,'Plan annuel Différentes Maladie'!V5*Population!AD5)</f>
        <v>0</v>
      </c>
      <c r="AI5" s="22">
        <f>'Plan annuel Différentes Maladie'!V5*Population!AE5</f>
        <v>132237.70310399999</v>
      </c>
      <c r="AJ5" s="22">
        <f>'Plan annuel Différentes Maladie'!V5*Population!V5*'Page d''accueil'!$F$16</f>
        <v>290922.9468287999</v>
      </c>
      <c r="AK5" s="22">
        <f>'Plan annuel Différentes Maladie'!AC5*Population!X5*'Page d''accueil'!$F$15</f>
        <v>0</v>
      </c>
      <c r="AL5" s="22">
        <f>'Plan annuel Différentes Maladie'!AC5*Population!X5*'Page d''accueil'!$F$16</f>
        <v>0</v>
      </c>
      <c r="AM5" s="22">
        <f>'Plan annuel Différentes Maladie'!AJ5*Population!AE5</f>
        <v>132237.70310399999</v>
      </c>
      <c r="AN5" s="22">
        <f>'Plan annuel Différentes Maladie'!AJ5*Population!AB5</f>
        <v>0</v>
      </c>
      <c r="AO5" s="22">
        <f>'Plan annuel Différentes Maladie'!AQ5*Population!AD5</f>
        <v>0</v>
      </c>
      <c r="AP5" s="22">
        <f>'Plan annuel Différentes Maladie'!AQ5*Population!AE5</f>
        <v>0</v>
      </c>
      <c r="AQ5" s="22">
        <f>'Plan annuel Différentes Maladie'!AQ5*Population!AC5</f>
        <v>0</v>
      </c>
      <c r="AR5" s="22">
        <f>'Plan annuel Différentes Maladie'!AX5*Population!Y5*'Page d''accueil'!$J$14</f>
        <v>0</v>
      </c>
      <c r="AS5" s="22">
        <f>'Plan annuel Différentes Maladie'!AX5*Population!Y5*'Page d''accueil'!$J$15</f>
        <v>0</v>
      </c>
      <c r="AT5" s="22">
        <f>'Plan annuel Différentes Maladie'!AX5*Population!Y5*'Page d''accueil'!$F$15</f>
        <v>0</v>
      </c>
      <c r="AU5" s="22">
        <f>'Plan annuel Différentes Maladie'!AX5*Population!Y5*'Page d''accueil'!$F$16</f>
        <v>0</v>
      </c>
      <c r="AV5" s="22">
        <f>MAX('Pop Cibles'!AH5,'Pop Cibles'!AO5,('Pop Cibles'!AR5+'Pop Cibles'!AS5))+MAX('Pop Cibles'!AI5,'Pop Cibles'!AK5,'Pop Cibles'!AM5,'Pop Cibles'!AP5,'Pop Cibles'!AT5)+MAX('Pop Cibles'!AJ5,'Pop Cibles'!AL5,'Pop Cibles'!AN5,'Pop Cibles'!AQ5,'Pop Cibles'!AU5)</f>
        <v>423160.64993279986</v>
      </c>
      <c r="AW5" s="22">
        <f>IF(SUM('Plan annuel Différentes Maladie'!K:K)&gt;0,0,'Plan annuel Différentes Maladie'!W5*Population!AN5)</f>
        <v>0</v>
      </c>
      <c r="AX5" s="22">
        <f>'Plan annuel Différentes Maladie'!W5*Population!AO5</f>
        <v>135808.12108780799</v>
      </c>
      <c r="AY5" s="22">
        <f>'Plan annuel Différentes Maladie'!W5*Population!AF5*'Page d''accueil'!$F$16</f>
        <v>298777.86639317754</v>
      </c>
      <c r="AZ5" s="22">
        <f>'Plan annuel Différentes Maladie'!AD5*Population!AH5*'Page d''accueil'!$F$15</f>
        <v>0</v>
      </c>
      <c r="BA5" s="22">
        <f>'Plan annuel Différentes Maladie'!AD5*Population!AH5*'Page d''accueil'!$F$16</f>
        <v>0</v>
      </c>
      <c r="BB5" s="22">
        <f>'Plan annuel Différentes Maladie'!AK5*Population!AO5</f>
        <v>0</v>
      </c>
      <c r="BC5" s="22">
        <f>'Plan annuel Différentes Maladie'!AK5*Population!AL5</f>
        <v>0</v>
      </c>
      <c r="BD5" s="22">
        <f>'Plan annuel Différentes Maladie'!AR5*Population!AN5</f>
        <v>0</v>
      </c>
      <c r="BE5" s="22">
        <f>'Plan annuel Différentes Maladie'!AR5*Population!AO5</f>
        <v>0</v>
      </c>
      <c r="BF5" s="22">
        <f>'Plan annuel Différentes Maladie'!AR5*Population!AM5</f>
        <v>0</v>
      </c>
      <c r="BG5" s="22">
        <f>'Plan annuel Différentes Maladie'!AY5*Population!AI5*'Page d''accueil'!$J$14</f>
        <v>0</v>
      </c>
      <c r="BH5" s="22">
        <f>'Plan annuel Différentes Maladie'!AY5*Population!AI5*'Page d''accueil'!$J$15</f>
        <v>0</v>
      </c>
      <c r="BI5" s="22">
        <f>'Plan annuel Différentes Maladie'!AY5*Population!AI5*'Page d''accueil'!$F$15</f>
        <v>0</v>
      </c>
      <c r="BJ5" s="22">
        <f>'Plan annuel Différentes Maladie'!AY5*Population!AI5*'Page d''accueil'!$F$16</f>
        <v>0</v>
      </c>
      <c r="BK5" s="22">
        <f>MAX('Pop Cibles'!AW5,'Pop Cibles'!BD5,('Pop Cibles'!BG5+'Pop Cibles'!BH5))+MAX('Pop Cibles'!AX5,'Pop Cibles'!AZ5,'Pop Cibles'!BB5,'Pop Cibles'!BE5,'Pop Cibles'!BI5)+MAX('Pop Cibles'!AY5,'Pop Cibles'!BA5,'Pop Cibles'!BC5,'Pop Cibles'!BF5,'Pop Cibles'!BJ5)</f>
        <v>434585.98748098552</v>
      </c>
      <c r="BL5" s="22">
        <f>IF(SUM('Plan annuel Différentes Maladie'!K:K)&gt;0,0,'Plan annuel Différentes Maladie'!X5*Population!AX5)</f>
        <v>0</v>
      </c>
      <c r="BM5" s="22">
        <f>'Plan annuel Différentes Maladie'!X5*Population!AY5</f>
        <v>139474.9403571788</v>
      </c>
      <c r="BN5" s="22">
        <f>'Plan annuel Différentes Maladie'!X5*Population!AP5*'Page d''accueil'!$F$16</f>
        <v>306844.86878579331</v>
      </c>
      <c r="BO5" s="22">
        <f>'Plan annuel Différentes Maladie'!AE5*Population!AR5*'Page d''accueil'!$F$15</f>
        <v>0</v>
      </c>
      <c r="BP5" s="22">
        <f>'Plan annuel Différentes Maladie'!AE5*Population!AR5*'Page d''accueil'!$F$16</f>
        <v>0</v>
      </c>
      <c r="BQ5" s="22">
        <f>'Plan annuel Différentes Maladie'!AL5*Population!AY5</f>
        <v>0</v>
      </c>
      <c r="BR5" s="22">
        <f>'Plan annuel Différentes Maladie'!AL5*Population!AV5</f>
        <v>0</v>
      </c>
      <c r="BS5" s="22">
        <f>'Plan annuel Différentes Maladie'!AS5*Population!AX5</f>
        <v>0</v>
      </c>
      <c r="BT5" s="22">
        <f>'Plan annuel Différentes Maladie'!AS5*Population!AY5</f>
        <v>0</v>
      </c>
      <c r="BU5" s="22">
        <f>'Plan annuel Différentes Maladie'!AS5*Population!AW5</f>
        <v>0</v>
      </c>
      <c r="BV5" s="22">
        <f>'Plan annuel Différentes Maladie'!AZ5*Population!AS5*'Page d''accueil'!$J$14</f>
        <v>0</v>
      </c>
      <c r="BW5" s="22">
        <f>'Plan annuel Différentes Maladie'!AZ5*Population!AS5*'Page d''accueil'!$J$15</f>
        <v>0</v>
      </c>
      <c r="BX5" s="22">
        <f>'Plan annuel Différentes Maladie'!AZ5*Population!AS5*'Page d''accueil'!$F$15</f>
        <v>0</v>
      </c>
      <c r="BY5" s="22">
        <f>'Plan annuel Différentes Maladie'!AZ5*Population!AS5*'Page d''accueil'!$F$16</f>
        <v>0</v>
      </c>
      <c r="BZ5" s="22">
        <f>MAX('Pop Cibles'!BL5,'Pop Cibles'!BS5,('Pop Cibles'!BV5+'Pop Cibles'!BW5))+MAX('Pop Cibles'!BM5,'Pop Cibles'!BO5,'Pop Cibles'!BQ5,'Pop Cibles'!BT5,'Pop Cibles'!BX5)+MAX('Pop Cibles'!BN5,'Pop Cibles'!BP5,'Pop Cibles'!BR5,'Pop Cibles'!BU5,'Pop Cibles'!BY5)</f>
        <v>446319.80914297211</v>
      </c>
    </row>
    <row r="6" spans="1:78" s="5" customFormat="1" ht="12" customHeight="1">
      <c r="A6" s="19">
        <v>3</v>
      </c>
      <c r="B6" s="21" t="str">
        <f>'Plan annuel Différentes Maladie'!B6</f>
        <v>BOKE</v>
      </c>
      <c r="C6" s="21" t="str">
        <f>Population!C6</f>
        <v>Fria</v>
      </c>
      <c r="D6" s="22">
        <f>IF(SUM('Plan annuel Différentes Maladie'!K:K)&gt;0,0,'Plan annuel Différentes Maladie'!T6*Population!J6)</f>
        <v>0</v>
      </c>
      <c r="E6" s="22">
        <f>'Plan annuel Différentes Maladie'!T6*Population!K6</f>
        <v>0</v>
      </c>
      <c r="F6" s="22">
        <f>'Plan annuel Différentes Maladie'!T6*Population!D6*'Page d''accueil'!$F$16</f>
        <v>0</v>
      </c>
      <c r="G6" s="22">
        <f>'Plan annuel Différentes Maladie'!AA6*Population!F6*'Page d''accueil'!$F$15</f>
        <v>0</v>
      </c>
      <c r="H6" s="22">
        <f>'Plan annuel Différentes Maladie'!AA6*Population!F6*'Page d''accueil'!$F$16</f>
        <v>0</v>
      </c>
      <c r="I6" s="22">
        <f>'Plan annuel Différentes Maladie'!AH6*Population!K6</f>
        <v>24584.5</v>
      </c>
      <c r="J6" s="22">
        <f>'Plan annuel Différentes Maladie'!AH6*Population!H6</f>
        <v>0</v>
      </c>
      <c r="K6" s="22">
        <f>'Plan annuel Différentes Maladie'!AO6*Population!J6</f>
        <v>0</v>
      </c>
      <c r="L6" s="22">
        <f>'Plan annuel Différentes Maladie'!AO6*Population!K6</f>
        <v>0</v>
      </c>
      <c r="M6" s="22">
        <f>'Plan annuel Différentes Maladie'!AO6*Population!I6</f>
        <v>0</v>
      </c>
      <c r="N6" s="22">
        <f>'Plan annuel Différentes Maladie'!AV6*Population!G6*'Page d''accueil'!$J$14</f>
        <v>0</v>
      </c>
      <c r="O6" s="22">
        <f>'Plan annuel Différentes Maladie'!AV6*Population!G6*'Page d''accueil'!$J$15</f>
        <v>0</v>
      </c>
      <c r="P6" s="22">
        <f>'Plan annuel Différentes Maladie'!AV6*Population!G6*'Page d''accueil'!$F$15</f>
        <v>0</v>
      </c>
      <c r="Q6" s="22">
        <f>'Plan annuel Différentes Maladie'!AV6*Population!G6*'Page d''accueil'!$F$16</f>
        <v>0</v>
      </c>
      <c r="R6" s="22">
        <f>MAX('Pop Cibles'!D6,'Pop Cibles'!K6,('Pop Cibles'!N6+'Pop Cibles'!O6))+MAX('Pop Cibles'!E6,'Pop Cibles'!G6,'Pop Cibles'!I6,'Pop Cibles'!L6,'Pop Cibles'!P6)+MAX('Pop Cibles'!F6,'Pop Cibles'!H6,'Pop Cibles'!J6,'Pop Cibles'!M6,'Pop Cibles'!Q6)</f>
        <v>24584.5</v>
      </c>
      <c r="S6" s="22">
        <f>IF(SUM('Plan annuel Différentes Maladie'!K:K)&gt;0,0,'Plan annuel Différentes Maladie'!U6*Population!T6)</f>
        <v>0</v>
      </c>
      <c r="T6" s="22">
        <f>'Plan annuel Différentes Maladie'!U6*Population!U6</f>
        <v>0</v>
      </c>
      <c r="U6" s="22">
        <f>'Plan annuel Différentes Maladie'!U6*Population!L6*'Page d''accueil'!$F$16</f>
        <v>0</v>
      </c>
      <c r="V6" s="22">
        <f>'Plan annuel Différentes Maladie'!AB6*Population!N6*'Page d''accueil'!$F$15</f>
        <v>0</v>
      </c>
      <c r="W6" s="22">
        <f>'Plan annuel Différentes Maladie'!AB6*Population!N6*'Page d''accueil'!$F$16</f>
        <v>0</v>
      </c>
      <c r="X6" s="22">
        <f>'Plan annuel Différentes Maladie'!AI6*Population!U6</f>
        <v>0</v>
      </c>
      <c r="Y6" s="22">
        <f>'Plan annuel Différentes Maladie'!AI6*Population!R6</f>
        <v>0</v>
      </c>
      <c r="Z6" s="22">
        <f>'Plan annuel Différentes Maladie'!AP6*Population!T6</f>
        <v>0</v>
      </c>
      <c r="AA6" s="22">
        <f>'Plan annuel Différentes Maladie'!AP6*Population!U6</f>
        <v>0</v>
      </c>
      <c r="AB6" s="22">
        <f>'Plan annuel Différentes Maladie'!AP6*Population!S6</f>
        <v>0</v>
      </c>
      <c r="AC6" s="22">
        <f>'Plan annuel Différentes Maladie'!AW6*Population!Q6*'Page d''accueil'!$J$14</f>
        <v>0</v>
      </c>
      <c r="AD6" s="22">
        <f>'Plan annuel Différentes Maladie'!AW6*Population!Q6*'Page d''accueil'!$J$15</f>
        <v>0</v>
      </c>
      <c r="AE6" s="22">
        <f>'Plan annuel Différentes Maladie'!AW6*Population!Q6*'Page d''accueil'!$F$15</f>
        <v>0</v>
      </c>
      <c r="AF6" s="22">
        <f>'Plan annuel Différentes Maladie'!AW6*Population!Q6*'Page d''accueil'!$F$16</f>
        <v>0</v>
      </c>
      <c r="AG6" s="22">
        <f>MAX('Pop Cibles'!S6,'Pop Cibles'!Z6,('Pop Cibles'!AC6+'Pop Cibles'!AD6))+MAX('Pop Cibles'!T6,'Pop Cibles'!V6,'Pop Cibles'!X6,'Pop Cibles'!AA6,'Pop Cibles'!AE6)+MAX('Pop Cibles'!U6,'Pop Cibles'!W6,'Pop Cibles'!Y6,'Pop Cibles'!AB6,'Pop Cibles'!AF6)</f>
        <v>0</v>
      </c>
      <c r="AH6" s="22">
        <f>IF(SUM('Plan annuel Différentes Maladie'!K:K)&gt;0,0,'Plan annuel Différentes Maladie'!V6*Population!AD6)</f>
        <v>0</v>
      </c>
      <c r="AI6" s="22">
        <f>'Plan annuel Différentes Maladie'!V6*Population!AE6</f>
        <v>0</v>
      </c>
      <c r="AJ6" s="22">
        <f>'Plan annuel Différentes Maladie'!V6*Population!V6*'Page d''accueil'!$F$16</f>
        <v>0</v>
      </c>
      <c r="AK6" s="22">
        <f>'Plan annuel Différentes Maladie'!AC6*Population!X6*'Page d''accueil'!$F$15</f>
        <v>0</v>
      </c>
      <c r="AL6" s="22">
        <f>'Plan annuel Différentes Maladie'!AC6*Population!X6*'Page d''accueil'!$F$16</f>
        <v>0</v>
      </c>
      <c r="AM6" s="22">
        <f>'Plan annuel Différentes Maladie'!AJ6*Population!AE6</f>
        <v>0</v>
      </c>
      <c r="AN6" s="22">
        <f>'Plan annuel Différentes Maladie'!AJ6*Population!AB6</f>
        <v>0</v>
      </c>
      <c r="AO6" s="22">
        <f>'Plan annuel Différentes Maladie'!AQ6*Population!AD6</f>
        <v>0</v>
      </c>
      <c r="AP6" s="22">
        <f>'Plan annuel Différentes Maladie'!AQ6*Population!AE6</f>
        <v>0</v>
      </c>
      <c r="AQ6" s="22">
        <f>'Plan annuel Différentes Maladie'!AQ6*Population!AC6</f>
        <v>0</v>
      </c>
      <c r="AR6" s="22">
        <f>'Plan annuel Différentes Maladie'!AX6*Population!Y6*'Page d''accueil'!$J$14</f>
        <v>0</v>
      </c>
      <c r="AS6" s="22">
        <f>'Plan annuel Différentes Maladie'!AX6*Population!Y6*'Page d''accueil'!$J$15</f>
        <v>0</v>
      </c>
      <c r="AT6" s="22">
        <f>'Plan annuel Différentes Maladie'!AX6*Population!Y6*'Page d''accueil'!$F$15</f>
        <v>0</v>
      </c>
      <c r="AU6" s="22">
        <f>'Plan annuel Différentes Maladie'!AX6*Population!Y6*'Page d''accueil'!$F$16</f>
        <v>0</v>
      </c>
      <c r="AV6" s="22">
        <f>MAX('Pop Cibles'!AH6,'Pop Cibles'!AO6,('Pop Cibles'!AR6+'Pop Cibles'!AS6))+MAX('Pop Cibles'!AI6,'Pop Cibles'!AK6,'Pop Cibles'!AM6,'Pop Cibles'!AP6,'Pop Cibles'!AT6)+MAX('Pop Cibles'!AJ6,'Pop Cibles'!AL6,'Pop Cibles'!AN6,'Pop Cibles'!AQ6,'Pop Cibles'!AU6)</f>
        <v>0</v>
      </c>
      <c r="AW6" s="22">
        <f>IF(SUM('Plan annuel Différentes Maladie'!K:K)&gt;0,0,'Plan annuel Différentes Maladie'!W6*Population!AN6)</f>
        <v>0</v>
      </c>
      <c r="AX6" s="22">
        <f>'Plan annuel Différentes Maladie'!W6*Population!AO6</f>
        <v>0</v>
      </c>
      <c r="AY6" s="22">
        <f>'Plan annuel Différentes Maladie'!W6*Population!AF6*'Page d''accueil'!$F$16</f>
        <v>0</v>
      </c>
      <c r="AZ6" s="22">
        <f>'Plan annuel Différentes Maladie'!AD6*Population!AH6*'Page d''accueil'!$F$15</f>
        <v>0</v>
      </c>
      <c r="BA6" s="22">
        <f>'Plan annuel Différentes Maladie'!AD6*Population!AH6*'Page d''accueil'!$F$16</f>
        <v>0</v>
      </c>
      <c r="BB6" s="22">
        <f>'Plan annuel Différentes Maladie'!AK6*Population!AO6</f>
        <v>26630.094698213492</v>
      </c>
      <c r="BC6" s="22">
        <f>'Plan annuel Différentes Maladie'!AK6*Population!AL6</f>
        <v>0</v>
      </c>
      <c r="BD6" s="22">
        <f>'Plan annuel Différentes Maladie'!AR6*Population!AN6</f>
        <v>0</v>
      </c>
      <c r="BE6" s="22">
        <f>'Plan annuel Différentes Maladie'!AR6*Population!AO6</f>
        <v>0</v>
      </c>
      <c r="BF6" s="22">
        <f>'Plan annuel Différentes Maladie'!AR6*Population!AM6</f>
        <v>0</v>
      </c>
      <c r="BG6" s="22">
        <f>'Plan annuel Différentes Maladie'!AY6*Population!AI6*'Page d''accueil'!$J$14</f>
        <v>0</v>
      </c>
      <c r="BH6" s="22">
        <f>'Plan annuel Différentes Maladie'!AY6*Population!AI6*'Page d''accueil'!$J$15</f>
        <v>0</v>
      </c>
      <c r="BI6" s="22">
        <f>'Plan annuel Différentes Maladie'!AY6*Population!AI6*'Page d''accueil'!$F$15</f>
        <v>0</v>
      </c>
      <c r="BJ6" s="22">
        <f>'Plan annuel Différentes Maladie'!AY6*Population!AI6*'Page d''accueil'!$F$16</f>
        <v>0</v>
      </c>
      <c r="BK6" s="22">
        <f>MAX('Pop Cibles'!AW6,'Pop Cibles'!BD6,('Pop Cibles'!BG6+'Pop Cibles'!BH6))+MAX('Pop Cibles'!AX6,'Pop Cibles'!AZ6,'Pop Cibles'!BB6,'Pop Cibles'!BE6,'Pop Cibles'!BI6)+MAX('Pop Cibles'!AY6,'Pop Cibles'!BA6,'Pop Cibles'!BC6,'Pop Cibles'!BF6,'Pop Cibles'!BJ6)</f>
        <v>26630.094698213492</v>
      </c>
      <c r="BL6" s="22">
        <f>IF(SUM('Plan annuel Différentes Maladie'!K:K)&gt;0,0,'Plan annuel Différentes Maladie'!X6*Population!AX6)</f>
        <v>0</v>
      </c>
      <c r="BM6" s="22">
        <f>'Plan annuel Différentes Maladie'!X6*Population!AY6</f>
        <v>0</v>
      </c>
      <c r="BN6" s="22">
        <f>'Plan annuel Différentes Maladie'!X6*Population!AP6*'Page d''accueil'!$F$16</f>
        <v>0</v>
      </c>
      <c r="BO6" s="22">
        <f>'Plan annuel Différentes Maladie'!AE6*Population!AR6*'Page d''accueil'!$F$15</f>
        <v>0</v>
      </c>
      <c r="BP6" s="22">
        <f>'Plan annuel Différentes Maladie'!AE6*Population!AR6*'Page d''accueil'!$F$16</f>
        <v>0</v>
      </c>
      <c r="BQ6" s="22">
        <f>'Plan annuel Différentes Maladie'!AL6*Population!AY6</f>
        <v>0</v>
      </c>
      <c r="BR6" s="22">
        <f>'Plan annuel Différentes Maladie'!AL6*Population!AV6</f>
        <v>0</v>
      </c>
      <c r="BS6" s="22">
        <f>'Plan annuel Différentes Maladie'!AS6*Population!AX6</f>
        <v>0</v>
      </c>
      <c r="BT6" s="22">
        <f>'Plan annuel Différentes Maladie'!AS6*Population!AY6</f>
        <v>0</v>
      </c>
      <c r="BU6" s="22">
        <f>'Plan annuel Différentes Maladie'!AS6*Population!AW6</f>
        <v>0</v>
      </c>
      <c r="BV6" s="22">
        <f>'Plan annuel Différentes Maladie'!AZ6*Population!AS6*'Page d''accueil'!$J$14</f>
        <v>0</v>
      </c>
      <c r="BW6" s="22">
        <f>'Plan annuel Différentes Maladie'!AZ6*Population!AS6*'Page d''accueil'!$J$15</f>
        <v>0</v>
      </c>
      <c r="BX6" s="22">
        <f>'Plan annuel Différentes Maladie'!AZ6*Population!AS6*'Page d''accueil'!$F$15</f>
        <v>0</v>
      </c>
      <c r="BY6" s="22">
        <f>'Plan annuel Différentes Maladie'!AZ6*Population!AS6*'Page d''accueil'!$F$16</f>
        <v>0</v>
      </c>
      <c r="BZ6" s="22">
        <f>MAX('Pop Cibles'!BL6,'Pop Cibles'!BS6,('Pop Cibles'!BV6+'Pop Cibles'!BW6))+MAX('Pop Cibles'!BM6,'Pop Cibles'!BO6,'Pop Cibles'!BQ6,'Pop Cibles'!BT6,'Pop Cibles'!BX6)+MAX('Pop Cibles'!BN6,'Pop Cibles'!BP6,'Pop Cibles'!BR6,'Pop Cibles'!BU6,'Pop Cibles'!BY6)</f>
        <v>0</v>
      </c>
    </row>
    <row r="7" spans="1:78" s="5" customFormat="1" ht="12" customHeight="1">
      <c r="A7" s="19">
        <v>4</v>
      </c>
      <c r="B7" s="21" t="str">
        <f>'Plan annuel Différentes Maladie'!B7</f>
        <v>BOKE</v>
      </c>
      <c r="C7" s="21" t="str">
        <f>Population!C7</f>
        <v>Gaoual</v>
      </c>
      <c r="D7" s="22">
        <f>IF(SUM('Plan annuel Différentes Maladie'!K:K)&gt;0,0,'Plan annuel Différentes Maladie'!T7*Population!J7)</f>
        <v>0</v>
      </c>
      <c r="E7" s="22">
        <f>'Plan annuel Différentes Maladie'!T7*Population!K7</f>
        <v>57273.75</v>
      </c>
      <c r="F7" s="22">
        <f>'Plan annuel Différentes Maladie'!T7*Population!D7*'Page d''accueil'!$F$16</f>
        <v>126002.24999999999</v>
      </c>
      <c r="G7" s="22">
        <f>'Plan annuel Différentes Maladie'!AA7*Population!F7*'Page d''accueil'!$F$15</f>
        <v>45819</v>
      </c>
      <c r="H7" s="22">
        <f>'Plan annuel Différentes Maladie'!AA7*Population!F7*'Page d''accueil'!$F$16</f>
        <v>100801.79999999999</v>
      </c>
      <c r="I7" s="22">
        <f>'Plan annuel Différentes Maladie'!AH7*Population!K7</f>
        <v>57273.75</v>
      </c>
      <c r="J7" s="22">
        <f>'Plan annuel Différentes Maladie'!AH7*Population!H7</f>
        <v>0</v>
      </c>
      <c r="K7" s="22">
        <f>'Plan annuel Différentes Maladie'!AO7*Population!J7</f>
        <v>0</v>
      </c>
      <c r="L7" s="22">
        <f>'Plan annuel Différentes Maladie'!AO7*Population!K7</f>
        <v>0</v>
      </c>
      <c r="M7" s="22">
        <f>'Plan annuel Différentes Maladie'!AO7*Population!I7</f>
        <v>0</v>
      </c>
      <c r="N7" s="22">
        <f>'Plan annuel Différentes Maladie'!AV7*Population!G7*'Page d''accueil'!$J$14</f>
        <v>0</v>
      </c>
      <c r="O7" s="22">
        <f>'Plan annuel Différentes Maladie'!AV7*Population!G7*'Page d''accueil'!$J$15</f>
        <v>0</v>
      </c>
      <c r="P7" s="22">
        <f>'Plan annuel Différentes Maladie'!AV7*Population!G7*'Page d''accueil'!$F$15</f>
        <v>0</v>
      </c>
      <c r="Q7" s="22">
        <f>'Plan annuel Différentes Maladie'!AV7*Population!G7*'Page d''accueil'!$F$16</f>
        <v>0</v>
      </c>
      <c r="R7" s="22">
        <f>MAX('Pop Cibles'!D7,'Pop Cibles'!K7,('Pop Cibles'!N7+'Pop Cibles'!O7))+MAX('Pop Cibles'!E7,'Pop Cibles'!G7,'Pop Cibles'!I7,'Pop Cibles'!L7,'Pop Cibles'!P7)+MAX('Pop Cibles'!F7,'Pop Cibles'!H7,'Pop Cibles'!J7,'Pop Cibles'!M7,'Pop Cibles'!Q7)</f>
        <v>183276</v>
      </c>
      <c r="S7" s="22">
        <f>IF(SUM('Plan annuel Différentes Maladie'!K:K)&gt;0,0,'Plan annuel Différentes Maladie'!U7*Population!T7)</f>
        <v>0</v>
      </c>
      <c r="T7" s="22">
        <f>'Plan annuel Différentes Maladie'!U7*Population!U7</f>
        <v>58820.141249999993</v>
      </c>
      <c r="U7" s="22">
        <f>'Plan annuel Différentes Maladie'!U7*Population!L7*'Page d''accueil'!$F$16</f>
        <v>129404.31074999998</v>
      </c>
      <c r="V7" s="22">
        <f>'Plan annuel Différentes Maladie'!AB7*Population!N7*'Page d''accueil'!$F$15</f>
        <v>47056.112999999998</v>
      </c>
      <c r="W7" s="22">
        <f>'Plan annuel Différentes Maladie'!AB7*Population!N7*'Page d''accueil'!$F$16</f>
        <v>103523.44859999999</v>
      </c>
      <c r="X7" s="22">
        <f>'Plan annuel Différentes Maladie'!AI7*Population!U7</f>
        <v>58820.141249999993</v>
      </c>
      <c r="Y7" s="22">
        <f>'Plan annuel Différentes Maladie'!AI7*Population!R7</f>
        <v>0</v>
      </c>
      <c r="Z7" s="22">
        <f>'Plan annuel Différentes Maladie'!AP7*Population!T7</f>
        <v>0</v>
      </c>
      <c r="AA7" s="22">
        <f>'Plan annuel Différentes Maladie'!AP7*Population!U7</f>
        <v>0</v>
      </c>
      <c r="AB7" s="22">
        <f>'Plan annuel Différentes Maladie'!AP7*Population!S7</f>
        <v>0</v>
      </c>
      <c r="AC7" s="22">
        <f>'Plan annuel Différentes Maladie'!AW7*Population!Q7*'Page d''accueil'!$J$14</f>
        <v>0</v>
      </c>
      <c r="AD7" s="22">
        <f>'Plan annuel Différentes Maladie'!AW7*Population!Q7*'Page d''accueil'!$J$15</f>
        <v>0</v>
      </c>
      <c r="AE7" s="22">
        <f>'Plan annuel Différentes Maladie'!AW7*Population!Q7*'Page d''accueil'!$F$15</f>
        <v>0</v>
      </c>
      <c r="AF7" s="22">
        <f>'Plan annuel Différentes Maladie'!AW7*Population!Q7*'Page d''accueil'!$F$16</f>
        <v>0</v>
      </c>
      <c r="AG7" s="22">
        <f>MAX('Pop Cibles'!S7,'Pop Cibles'!Z7,('Pop Cibles'!AC7+'Pop Cibles'!AD7))+MAX('Pop Cibles'!T7,'Pop Cibles'!V7,'Pop Cibles'!X7,'Pop Cibles'!AA7,'Pop Cibles'!AE7)+MAX('Pop Cibles'!U7,'Pop Cibles'!W7,'Pop Cibles'!Y7,'Pop Cibles'!AB7,'Pop Cibles'!AF7)</f>
        <v>188224.45199999996</v>
      </c>
      <c r="AH7" s="22">
        <f>IF(SUM('Plan annuel Différentes Maladie'!K:K)&gt;0,0,'Plan annuel Différentes Maladie'!V7*Population!AD7)</f>
        <v>0</v>
      </c>
      <c r="AI7" s="22">
        <f>'Plan annuel Différentes Maladie'!V7*Population!AE7</f>
        <v>60408.285063749987</v>
      </c>
      <c r="AJ7" s="22">
        <f>'Plan annuel Différentes Maladie'!V7*Population!V7*'Page d''accueil'!$F$16</f>
        <v>132898.22714024995</v>
      </c>
      <c r="AK7" s="22">
        <f>'Plan annuel Différentes Maladie'!AC7*Population!X7*'Page d''accueil'!$F$15</f>
        <v>48326.628050999992</v>
      </c>
      <c r="AL7" s="22">
        <f>'Plan annuel Différentes Maladie'!AC7*Population!X7*'Page d''accueil'!$F$16</f>
        <v>106318.58171219997</v>
      </c>
      <c r="AM7" s="22">
        <f>'Plan annuel Différentes Maladie'!AJ7*Population!AE7</f>
        <v>60408.285063749987</v>
      </c>
      <c r="AN7" s="22">
        <f>'Plan annuel Différentes Maladie'!AJ7*Population!AB7</f>
        <v>0</v>
      </c>
      <c r="AO7" s="22">
        <f>'Plan annuel Différentes Maladie'!AQ7*Population!AD7</f>
        <v>0</v>
      </c>
      <c r="AP7" s="22">
        <f>'Plan annuel Différentes Maladie'!AQ7*Population!AE7</f>
        <v>0</v>
      </c>
      <c r="AQ7" s="22">
        <f>'Plan annuel Différentes Maladie'!AQ7*Population!AC7</f>
        <v>0</v>
      </c>
      <c r="AR7" s="22">
        <f>'Plan annuel Différentes Maladie'!AX7*Population!Y7*'Page d''accueil'!$J$14</f>
        <v>0</v>
      </c>
      <c r="AS7" s="22">
        <f>'Plan annuel Différentes Maladie'!AX7*Population!Y7*'Page d''accueil'!$J$15</f>
        <v>0</v>
      </c>
      <c r="AT7" s="22">
        <f>'Plan annuel Différentes Maladie'!AX7*Population!Y7*'Page d''accueil'!$F$15</f>
        <v>0</v>
      </c>
      <c r="AU7" s="22">
        <f>'Plan annuel Différentes Maladie'!AX7*Population!Y7*'Page d''accueil'!$F$16</f>
        <v>0</v>
      </c>
      <c r="AV7" s="22">
        <f>MAX('Pop Cibles'!AH7,'Pop Cibles'!AO7,('Pop Cibles'!AR7+'Pop Cibles'!AS7))+MAX('Pop Cibles'!AI7,'Pop Cibles'!AK7,'Pop Cibles'!AM7,'Pop Cibles'!AP7,'Pop Cibles'!AT7)+MAX('Pop Cibles'!AJ7,'Pop Cibles'!AL7,'Pop Cibles'!AN7,'Pop Cibles'!AQ7,'Pop Cibles'!AU7)</f>
        <v>193306.51220399994</v>
      </c>
      <c r="AW7" s="22">
        <f>IF(SUM('Plan annuel Différentes Maladie'!K:K)&gt;0,0,'Plan annuel Différentes Maladie'!W7*Population!AN7)</f>
        <v>0</v>
      </c>
      <c r="AX7" s="22">
        <f>'Plan annuel Différentes Maladie'!W7*Population!AO7</f>
        <v>62039.308760471235</v>
      </c>
      <c r="AY7" s="22">
        <f>'Plan annuel Différentes Maladie'!W7*Population!AF7*'Page d''accueil'!$F$16</f>
        <v>136486.4792730367</v>
      </c>
      <c r="AZ7" s="22">
        <f>'Plan annuel Différentes Maladie'!AD7*Population!AH7*'Page d''accueil'!$F$15</f>
        <v>49631.447008376985</v>
      </c>
      <c r="BA7" s="22">
        <f>'Plan annuel Différentes Maladie'!AD7*Population!AH7*'Page d''accueil'!$F$16</f>
        <v>109189.18341842935</v>
      </c>
      <c r="BB7" s="22">
        <f>'Plan annuel Différentes Maladie'!AK7*Population!AO7</f>
        <v>62039.308760471235</v>
      </c>
      <c r="BC7" s="22">
        <f>'Plan annuel Différentes Maladie'!AK7*Population!AL7</f>
        <v>0</v>
      </c>
      <c r="BD7" s="22">
        <f>'Plan annuel Différentes Maladie'!AR7*Population!AN7</f>
        <v>0</v>
      </c>
      <c r="BE7" s="22">
        <f>'Plan annuel Différentes Maladie'!AR7*Population!AO7</f>
        <v>0</v>
      </c>
      <c r="BF7" s="22">
        <f>'Plan annuel Différentes Maladie'!AR7*Population!AM7</f>
        <v>0</v>
      </c>
      <c r="BG7" s="22">
        <f>'Plan annuel Différentes Maladie'!AY7*Population!AI7*'Page d''accueil'!$J$14</f>
        <v>0</v>
      </c>
      <c r="BH7" s="22">
        <f>'Plan annuel Différentes Maladie'!AY7*Population!AI7*'Page d''accueil'!$J$15</f>
        <v>0</v>
      </c>
      <c r="BI7" s="22">
        <f>'Plan annuel Différentes Maladie'!AY7*Population!AI7*'Page d''accueil'!$F$15</f>
        <v>0</v>
      </c>
      <c r="BJ7" s="22">
        <f>'Plan annuel Différentes Maladie'!AY7*Population!AI7*'Page d''accueil'!$F$16</f>
        <v>0</v>
      </c>
      <c r="BK7" s="22">
        <f>MAX('Pop Cibles'!AW7,'Pop Cibles'!BD7,('Pop Cibles'!BG7+'Pop Cibles'!BH7))+MAX('Pop Cibles'!AX7,'Pop Cibles'!AZ7,'Pop Cibles'!BB7,'Pop Cibles'!BE7,'Pop Cibles'!BI7)+MAX('Pop Cibles'!AY7,'Pop Cibles'!BA7,'Pop Cibles'!BC7,'Pop Cibles'!BF7,'Pop Cibles'!BJ7)</f>
        <v>198525.78803350794</v>
      </c>
      <c r="BL7" s="22">
        <f>IF(SUM('Plan annuel Différentes Maladie'!K:K)&gt;0,0,'Plan annuel Différentes Maladie'!X7*Population!AX7)</f>
        <v>0</v>
      </c>
      <c r="BM7" s="22">
        <f>'Plan annuel Différentes Maladie'!X7*Population!AY7</f>
        <v>63714.37009700395</v>
      </c>
      <c r="BN7" s="22">
        <f>'Plan annuel Différentes Maladie'!X7*Population!AP7*'Page d''accueil'!$F$16</f>
        <v>140171.61421340867</v>
      </c>
      <c r="BO7" s="22">
        <f>'Plan annuel Différentes Maladie'!AE7*Population!AR7*'Page d''accueil'!$F$15</f>
        <v>50971.496077603158</v>
      </c>
      <c r="BP7" s="22">
        <f>'Plan annuel Différentes Maladie'!AE7*Population!AR7*'Page d''accueil'!$F$16</f>
        <v>112137.29137072693</v>
      </c>
      <c r="BQ7" s="22">
        <f>'Plan annuel Différentes Maladie'!AL7*Population!AY7</f>
        <v>63714.37009700395</v>
      </c>
      <c r="BR7" s="22">
        <f>'Plan annuel Différentes Maladie'!AL7*Population!AV7</f>
        <v>0</v>
      </c>
      <c r="BS7" s="22">
        <f>'Plan annuel Différentes Maladie'!AS7*Population!AX7</f>
        <v>0</v>
      </c>
      <c r="BT7" s="22">
        <f>'Plan annuel Différentes Maladie'!AS7*Population!AY7</f>
        <v>0</v>
      </c>
      <c r="BU7" s="22">
        <f>'Plan annuel Différentes Maladie'!AS7*Population!AW7</f>
        <v>0</v>
      </c>
      <c r="BV7" s="22">
        <f>'Plan annuel Différentes Maladie'!AZ7*Population!AS7*'Page d''accueil'!$J$14</f>
        <v>0</v>
      </c>
      <c r="BW7" s="22">
        <f>'Plan annuel Différentes Maladie'!AZ7*Population!AS7*'Page d''accueil'!$J$15</f>
        <v>0</v>
      </c>
      <c r="BX7" s="22">
        <f>'Plan annuel Différentes Maladie'!AZ7*Population!AS7*'Page d''accueil'!$F$15</f>
        <v>0</v>
      </c>
      <c r="BY7" s="22">
        <f>'Plan annuel Différentes Maladie'!AZ7*Population!AS7*'Page d''accueil'!$F$16</f>
        <v>0</v>
      </c>
      <c r="BZ7" s="22">
        <f>MAX('Pop Cibles'!BL7,'Pop Cibles'!BS7,('Pop Cibles'!BV7+'Pop Cibles'!BW7))+MAX('Pop Cibles'!BM7,'Pop Cibles'!BO7,'Pop Cibles'!BQ7,'Pop Cibles'!BT7,'Pop Cibles'!BX7)+MAX('Pop Cibles'!BN7,'Pop Cibles'!BP7,'Pop Cibles'!BR7,'Pop Cibles'!BU7,'Pop Cibles'!BY7)</f>
        <v>203885.9843104126</v>
      </c>
    </row>
    <row r="8" spans="1:78" s="5" customFormat="1" ht="12" customHeight="1">
      <c r="A8" s="19">
        <v>5</v>
      </c>
      <c r="B8" s="21" t="str">
        <f>'Plan annuel Différentes Maladie'!B8</f>
        <v>BOKE</v>
      </c>
      <c r="C8" s="21" t="str">
        <f>Population!C8</f>
        <v>Koundara</v>
      </c>
      <c r="D8" s="22">
        <f>IF(SUM('Plan annuel Différentes Maladie'!K:K)&gt;0,0,'Plan annuel Différentes Maladie'!T8*Population!J8)</f>
        <v>0</v>
      </c>
      <c r="E8" s="22">
        <f>'Plan annuel Différentes Maladie'!T8*Population!K8</f>
        <v>37918.75</v>
      </c>
      <c r="F8" s="22">
        <f>'Plan annuel Différentes Maladie'!T8*Population!D8*'Page d''accueil'!$F$16</f>
        <v>83421.249999999985</v>
      </c>
      <c r="G8" s="22">
        <f>'Plan annuel Différentes Maladie'!AA8*Population!F8*'Page d''accueil'!$F$15</f>
        <v>30335</v>
      </c>
      <c r="H8" s="22">
        <f>'Plan annuel Différentes Maladie'!AA8*Population!F8*'Page d''accueil'!$F$16</f>
        <v>66736.999999999985</v>
      </c>
      <c r="I8" s="22">
        <f>'Plan annuel Différentes Maladie'!AH8*Population!K8</f>
        <v>37918.75</v>
      </c>
      <c r="J8" s="22">
        <f>'Plan annuel Différentes Maladie'!AH8*Population!H8</f>
        <v>0</v>
      </c>
      <c r="K8" s="22">
        <f>'Plan annuel Différentes Maladie'!AO8*Population!J8</f>
        <v>0</v>
      </c>
      <c r="L8" s="22">
        <f>'Plan annuel Différentes Maladie'!AO8*Population!K8</f>
        <v>0</v>
      </c>
      <c r="M8" s="22">
        <f>'Plan annuel Différentes Maladie'!AO8*Population!I8</f>
        <v>0</v>
      </c>
      <c r="N8" s="22">
        <f>'Plan annuel Différentes Maladie'!AV8*Population!G8*'Page d''accueil'!$J$14</f>
        <v>0</v>
      </c>
      <c r="O8" s="22">
        <f>'Plan annuel Différentes Maladie'!AV8*Population!G8*'Page d''accueil'!$J$15</f>
        <v>0</v>
      </c>
      <c r="P8" s="22">
        <f>'Plan annuel Différentes Maladie'!AV8*Population!G8*'Page d''accueil'!$F$15</f>
        <v>0</v>
      </c>
      <c r="Q8" s="22">
        <f>'Plan annuel Différentes Maladie'!AV8*Population!G8*'Page d''accueil'!$F$16</f>
        <v>0</v>
      </c>
      <c r="R8" s="22">
        <f>MAX('Pop Cibles'!D8,'Pop Cibles'!K8,('Pop Cibles'!N8+'Pop Cibles'!O8))+MAX('Pop Cibles'!E8,'Pop Cibles'!G8,'Pop Cibles'!I8,'Pop Cibles'!L8,'Pop Cibles'!P8)+MAX('Pop Cibles'!F8,'Pop Cibles'!H8,'Pop Cibles'!J8,'Pop Cibles'!M8,'Pop Cibles'!Q8)</f>
        <v>121339.99999999999</v>
      </c>
      <c r="S8" s="22">
        <f>IF(SUM('Plan annuel Différentes Maladie'!K:K)&gt;0,0,'Plan annuel Différentes Maladie'!U8*Population!T8)</f>
        <v>0</v>
      </c>
      <c r="T8" s="22">
        <f>'Plan annuel Différentes Maladie'!U8*Population!U8</f>
        <v>38942.556249999994</v>
      </c>
      <c r="U8" s="22">
        <f>'Plan annuel Différentes Maladie'!U8*Population!L8*'Page d''accueil'!$F$16</f>
        <v>85673.62374999997</v>
      </c>
      <c r="V8" s="22">
        <f>'Plan annuel Différentes Maladie'!AB8*Population!N8*'Page d''accueil'!$F$15</f>
        <v>31154.044999999998</v>
      </c>
      <c r="W8" s="22">
        <f>'Plan annuel Différentes Maladie'!AB8*Population!N8*'Page d''accueil'!$F$16</f>
        <v>68538.89899999999</v>
      </c>
      <c r="X8" s="22">
        <f>'Plan annuel Différentes Maladie'!AI8*Population!U8</f>
        <v>0</v>
      </c>
      <c r="Y8" s="22">
        <f>'Plan annuel Différentes Maladie'!AI8*Population!R8</f>
        <v>0</v>
      </c>
      <c r="Z8" s="22">
        <f>'Plan annuel Différentes Maladie'!AP8*Population!T8</f>
        <v>0</v>
      </c>
      <c r="AA8" s="22">
        <f>'Plan annuel Différentes Maladie'!AP8*Population!U8</f>
        <v>0</v>
      </c>
      <c r="AB8" s="22">
        <f>'Plan annuel Différentes Maladie'!AP8*Population!S8</f>
        <v>0</v>
      </c>
      <c r="AC8" s="22">
        <f>'Plan annuel Différentes Maladie'!AW8*Population!Q8*'Page d''accueil'!$J$14</f>
        <v>0</v>
      </c>
      <c r="AD8" s="22">
        <f>'Plan annuel Différentes Maladie'!AW8*Population!Q8*'Page d''accueil'!$J$15</f>
        <v>0</v>
      </c>
      <c r="AE8" s="22">
        <f>'Plan annuel Différentes Maladie'!AW8*Population!Q8*'Page d''accueil'!$F$15</f>
        <v>0</v>
      </c>
      <c r="AF8" s="22">
        <f>'Plan annuel Différentes Maladie'!AW8*Population!Q8*'Page d''accueil'!$F$16</f>
        <v>0</v>
      </c>
      <c r="AG8" s="22">
        <f>MAX('Pop Cibles'!S8,'Pop Cibles'!Z8,('Pop Cibles'!AC8+'Pop Cibles'!AD8))+MAX('Pop Cibles'!T8,'Pop Cibles'!V8,'Pop Cibles'!X8,'Pop Cibles'!AA8,'Pop Cibles'!AE8)+MAX('Pop Cibles'!U8,'Pop Cibles'!W8,'Pop Cibles'!Y8,'Pop Cibles'!AB8,'Pop Cibles'!AF8)</f>
        <v>124616.17999999996</v>
      </c>
      <c r="AH8" s="22">
        <f>IF(SUM('Plan annuel Différentes Maladie'!K:K)&gt;0,0,'Plan annuel Différentes Maladie'!V8*Population!AD8)</f>
        <v>0</v>
      </c>
      <c r="AI8" s="22">
        <f>'Plan annuel Différentes Maladie'!V8*Population!AE8</f>
        <v>39994.005268749992</v>
      </c>
      <c r="AJ8" s="22">
        <f>'Plan annuel Différentes Maladie'!V8*Population!V8*'Page d''accueil'!$F$16</f>
        <v>87986.811591249978</v>
      </c>
      <c r="AK8" s="22">
        <f>'Plan annuel Différentes Maladie'!AC8*Population!X8*'Page d''accueil'!$F$15</f>
        <v>31995.204214999994</v>
      </c>
      <c r="AL8" s="22">
        <f>'Plan annuel Différentes Maladie'!AC8*Population!X8*'Page d''accueil'!$F$16</f>
        <v>70389.449272999977</v>
      </c>
      <c r="AM8" s="22">
        <f>'Plan annuel Différentes Maladie'!AJ8*Population!AE8</f>
        <v>39994.005268749992</v>
      </c>
      <c r="AN8" s="22">
        <f>'Plan annuel Différentes Maladie'!AJ8*Population!AB8</f>
        <v>0</v>
      </c>
      <c r="AO8" s="22">
        <f>'Plan annuel Différentes Maladie'!AQ8*Population!AD8</f>
        <v>0</v>
      </c>
      <c r="AP8" s="22">
        <f>'Plan annuel Différentes Maladie'!AQ8*Population!AE8</f>
        <v>0</v>
      </c>
      <c r="AQ8" s="22">
        <f>'Plan annuel Différentes Maladie'!AQ8*Population!AC8</f>
        <v>0</v>
      </c>
      <c r="AR8" s="22">
        <f>'Plan annuel Différentes Maladie'!AX8*Population!Y8*'Page d''accueil'!$J$14</f>
        <v>0</v>
      </c>
      <c r="AS8" s="22">
        <f>'Plan annuel Différentes Maladie'!AX8*Population!Y8*'Page d''accueil'!$J$15</f>
        <v>0</v>
      </c>
      <c r="AT8" s="22">
        <f>'Plan annuel Différentes Maladie'!AX8*Population!Y8*'Page d''accueil'!$F$15</f>
        <v>0</v>
      </c>
      <c r="AU8" s="22">
        <f>'Plan annuel Différentes Maladie'!AX8*Population!Y8*'Page d''accueil'!$F$16</f>
        <v>0</v>
      </c>
      <c r="AV8" s="22">
        <f>MAX('Pop Cibles'!AH8,'Pop Cibles'!AO8,('Pop Cibles'!AR8+'Pop Cibles'!AS8))+MAX('Pop Cibles'!AI8,'Pop Cibles'!AK8,'Pop Cibles'!AM8,'Pop Cibles'!AP8,'Pop Cibles'!AT8)+MAX('Pop Cibles'!AJ8,'Pop Cibles'!AL8,'Pop Cibles'!AN8,'Pop Cibles'!AQ8,'Pop Cibles'!AU8)</f>
        <v>127980.81685999996</v>
      </c>
      <c r="AW8" s="22">
        <f>IF(SUM('Plan annuel Différentes Maladie'!K:K)&gt;0,0,'Plan annuel Différentes Maladie'!W8*Population!AN8)</f>
        <v>0</v>
      </c>
      <c r="AX8" s="22">
        <f>'Plan annuel Différentes Maladie'!W8*Population!AO8</f>
        <v>41073.843411006237</v>
      </c>
      <c r="AY8" s="22">
        <f>'Plan annuel Différentes Maladie'!W8*Population!AF8*'Page d''accueil'!$F$16</f>
        <v>90362.455504213707</v>
      </c>
      <c r="AZ8" s="22">
        <f>'Plan annuel Différentes Maladie'!AD8*Population!AH8*'Page d''accueil'!$F$15</f>
        <v>32859.07472880499</v>
      </c>
      <c r="BA8" s="22">
        <f>'Plan annuel Différentes Maladie'!AD8*Population!AH8*'Page d''accueil'!$F$16</f>
        <v>72289.964403370963</v>
      </c>
      <c r="BB8" s="22">
        <f>'Plan annuel Différentes Maladie'!AK8*Population!AO8</f>
        <v>0</v>
      </c>
      <c r="BC8" s="22">
        <f>'Plan annuel Différentes Maladie'!AK8*Population!AL8</f>
        <v>0</v>
      </c>
      <c r="BD8" s="22">
        <f>'Plan annuel Différentes Maladie'!AR8*Population!AN8</f>
        <v>0</v>
      </c>
      <c r="BE8" s="22">
        <f>'Plan annuel Différentes Maladie'!AR8*Population!AO8</f>
        <v>0</v>
      </c>
      <c r="BF8" s="22">
        <f>'Plan annuel Différentes Maladie'!AR8*Population!AM8</f>
        <v>0</v>
      </c>
      <c r="BG8" s="22">
        <f>'Plan annuel Différentes Maladie'!AY8*Population!AI8*'Page d''accueil'!$J$14</f>
        <v>0</v>
      </c>
      <c r="BH8" s="22">
        <f>'Plan annuel Différentes Maladie'!AY8*Population!AI8*'Page d''accueil'!$J$15</f>
        <v>0</v>
      </c>
      <c r="BI8" s="22">
        <f>'Plan annuel Différentes Maladie'!AY8*Population!AI8*'Page d''accueil'!$F$15</f>
        <v>0</v>
      </c>
      <c r="BJ8" s="22">
        <f>'Plan annuel Différentes Maladie'!AY8*Population!AI8*'Page d''accueil'!$F$16</f>
        <v>0</v>
      </c>
      <c r="BK8" s="22">
        <f>MAX('Pop Cibles'!AW8,'Pop Cibles'!BD8,('Pop Cibles'!BG8+'Pop Cibles'!BH8))+MAX('Pop Cibles'!AX8,'Pop Cibles'!AZ8,'Pop Cibles'!BB8,'Pop Cibles'!BE8,'Pop Cibles'!BI8)+MAX('Pop Cibles'!AY8,'Pop Cibles'!BA8,'Pop Cibles'!BC8,'Pop Cibles'!BF8,'Pop Cibles'!BJ8)</f>
        <v>131436.29891521996</v>
      </c>
      <c r="BL8" s="22">
        <f>IF(SUM('Plan annuel Différentes Maladie'!K:K)&gt;0,0,'Plan annuel Différentes Maladie'!X8*Population!AX8)</f>
        <v>0</v>
      </c>
      <c r="BM8" s="22">
        <f>'Plan annuel Différentes Maladie'!X8*Population!AY8</f>
        <v>42182.837183103402</v>
      </c>
      <c r="BN8" s="22">
        <f>'Plan annuel Différentes Maladie'!X8*Population!AP8*'Page d''accueil'!$F$16</f>
        <v>92802.24180282747</v>
      </c>
      <c r="BO8" s="22">
        <f>'Plan annuel Différentes Maladie'!AE8*Population!AR8*'Page d''accueil'!$F$15</f>
        <v>33746.269746482722</v>
      </c>
      <c r="BP8" s="22">
        <f>'Plan annuel Différentes Maladie'!AE8*Population!AR8*'Page d''accueil'!$F$16</f>
        <v>74241.793442261973</v>
      </c>
      <c r="BQ8" s="22">
        <f>'Plan annuel Différentes Maladie'!AL8*Population!AY8</f>
        <v>42182.837183103402</v>
      </c>
      <c r="BR8" s="22">
        <f>'Plan annuel Différentes Maladie'!AL8*Population!AV8</f>
        <v>0</v>
      </c>
      <c r="BS8" s="22">
        <f>'Plan annuel Différentes Maladie'!AS8*Population!AX8</f>
        <v>0</v>
      </c>
      <c r="BT8" s="22">
        <f>'Plan annuel Différentes Maladie'!AS8*Population!AY8</f>
        <v>0</v>
      </c>
      <c r="BU8" s="22">
        <f>'Plan annuel Différentes Maladie'!AS8*Population!AW8</f>
        <v>0</v>
      </c>
      <c r="BV8" s="22">
        <f>'Plan annuel Différentes Maladie'!AZ8*Population!AS8*'Page d''accueil'!$J$14</f>
        <v>0</v>
      </c>
      <c r="BW8" s="22">
        <f>'Plan annuel Différentes Maladie'!AZ8*Population!AS8*'Page d''accueil'!$J$15</f>
        <v>0</v>
      </c>
      <c r="BX8" s="22">
        <f>'Plan annuel Différentes Maladie'!AZ8*Population!AS8*'Page d''accueil'!$F$15</f>
        <v>0</v>
      </c>
      <c r="BY8" s="22">
        <f>'Plan annuel Différentes Maladie'!AZ8*Population!AS8*'Page d''accueil'!$F$16</f>
        <v>0</v>
      </c>
      <c r="BZ8" s="22">
        <f>MAX('Pop Cibles'!BL8,'Pop Cibles'!BS8,('Pop Cibles'!BV8+'Pop Cibles'!BW8))+MAX('Pop Cibles'!BM8,'Pop Cibles'!BO8,'Pop Cibles'!BQ8,'Pop Cibles'!BT8,'Pop Cibles'!BX8)+MAX('Pop Cibles'!BN8,'Pop Cibles'!BP8,'Pop Cibles'!BR8,'Pop Cibles'!BU8,'Pop Cibles'!BY8)</f>
        <v>134985.07898593089</v>
      </c>
    </row>
    <row r="9" spans="1:78" s="5" customFormat="1" ht="12" customHeight="1">
      <c r="A9" s="19">
        <v>6</v>
      </c>
      <c r="B9" s="21" t="str">
        <f>'Plan annuel Différentes Maladie'!B9</f>
        <v>CONAKRY</v>
      </c>
      <c r="C9" s="21" t="str">
        <f>Population!C9</f>
        <v>Dixinn</v>
      </c>
      <c r="D9" s="22">
        <f>IF(SUM('Plan annuel Différentes Maladie'!K:K)&gt;0,0,'Plan annuel Différentes Maladie'!T9*Population!J9)</f>
        <v>0</v>
      </c>
      <c r="E9" s="22">
        <f>'Plan annuel Différentes Maladie'!T9*Population!K9</f>
        <v>0</v>
      </c>
      <c r="F9" s="22">
        <f>'Plan annuel Différentes Maladie'!T9*Population!D9*'Page d''accueil'!$F$16</f>
        <v>0</v>
      </c>
      <c r="G9" s="22">
        <f>'Plan annuel Différentes Maladie'!AA9*Population!F9*'Page d''accueil'!$F$15</f>
        <v>0</v>
      </c>
      <c r="H9" s="22">
        <f>'Plan annuel Différentes Maladie'!AA9*Population!F9*'Page d''accueil'!$F$16</f>
        <v>0</v>
      </c>
      <c r="I9" s="22">
        <f>'Plan annuel Différentes Maladie'!AH9*Population!K9</f>
        <v>0</v>
      </c>
      <c r="J9" s="22">
        <f>'Plan annuel Différentes Maladie'!AH9*Population!H9</f>
        <v>0</v>
      </c>
      <c r="K9" s="22">
        <f>'Plan annuel Différentes Maladie'!AO9*Population!J9</f>
        <v>0</v>
      </c>
      <c r="L9" s="22">
        <f>'Plan annuel Différentes Maladie'!AO9*Population!K9</f>
        <v>0</v>
      </c>
      <c r="M9" s="22">
        <f>'Plan annuel Différentes Maladie'!AO9*Population!I9</f>
        <v>0</v>
      </c>
      <c r="N9" s="22">
        <f>'Plan annuel Différentes Maladie'!AV9*Population!G9*'Page d''accueil'!$J$14</f>
        <v>0</v>
      </c>
      <c r="O9" s="22">
        <f>'Plan annuel Différentes Maladie'!AV9*Population!G9*'Page d''accueil'!$J$15</f>
        <v>0</v>
      </c>
      <c r="P9" s="22">
        <f>'Plan annuel Différentes Maladie'!AV9*Population!G9*'Page d''accueil'!$F$15</f>
        <v>0</v>
      </c>
      <c r="Q9" s="22">
        <f>'Plan annuel Différentes Maladie'!AV9*Population!G9*'Page d''accueil'!$F$16</f>
        <v>0</v>
      </c>
      <c r="R9" s="22">
        <f>MAX('Pop Cibles'!D9,'Pop Cibles'!K9,('Pop Cibles'!N9+'Pop Cibles'!O9))+MAX('Pop Cibles'!E9,'Pop Cibles'!G9,'Pop Cibles'!I9,'Pop Cibles'!L9,'Pop Cibles'!P9)+MAX('Pop Cibles'!F9,'Pop Cibles'!H9,'Pop Cibles'!J9,'Pop Cibles'!M9,'Pop Cibles'!Q9)</f>
        <v>0</v>
      </c>
      <c r="S9" s="22">
        <f>IF(SUM('Plan annuel Différentes Maladie'!K:K)&gt;0,0,'Plan annuel Différentes Maladie'!U9*Population!T9)</f>
        <v>0</v>
      </c>
      <c r="T9" s="22">
        <f>'Plan annuel Différentes Maladie'!U9*Population!U9</f>
        <v>0</v>
      </c>
      <c r="U9" s="22">
        <f>'Plan annuel Différentes Maladie'!U9*Population!L9*'Page d''accueil'!$F$16</f>
        <v>0</v>
      </c>
      <c r="V9" s="22">
        <f>'Plan annuel Différentes Maladie'!AB9*Population!N9*'Page d''accueil'!$F$15</f>
        <v>0</v>
      </c>
      <c r="W9" s="22">
        <f>'Plan annuel Différentes Maladie'!AB9*Population!N9*'Page d''accueil'!$F$16</f>
        <v>0</v>
      </c>
      <c r="X9" s="22">
        <f>'Plan annuel Différentes Maladie'!AI9*Population!U9</f>
        <v>0</v>
      </c>
      <c r="Y9" s="22">
        <f>'Plan annuel Différentes Maladie'!AI9*Population!R9</f>
        <v>0</v>
      </c>
      <c r="Z9" s="22">
        <f>'Plan annuel Différentes Maladie'!AP9*Population!T9</f>
        <v>0</v>
      </c>
      <c r="AA9" s="22">
        <f>'Plan annuel Différentes Maladie'!AP9*Population!U9</f>
        <v>0</v>
      </c>
      <c r="AB9" s="22">
        <f>'Plan annuel Différentes Maladie'!AP9*Population!S9</f>
        <v>0</v>
      </c>
      <c r="AC9" s="22">
        <f>'Plan annuel Différentes Maladie'!AW9*Population!Q9*'Page d''accueil'!$J$14</f>
        <v>0</v>
      </c>
      <c r="AD9" s="22">
        <f>'Plan annuel Différentes Maladie'!AW9*Population!Q9*'Page d''accueil'!$J$15</f>
        <v>0</v>
      </c>
      <c r="AE9" s="22">
        <f>'Plan annuel Différentes Maladie'!AW9*Population!Q9*'Page d''accueil'!$F$15</f>
        <v>0</v>
      </c>
      <c r="AF9" s="22">
        <f>'Plan annuel Différentes Maladie'!AW9*Population!Q9*'Page d''accueil'!$F$16</f>
        <v>0</v>
      </c>
      <c r="AG9" s="22">
        <f>MAX('Pop Cibles'!S9,'Pop Cibles'!Z9,('Pop Cibles'!AC9+'Pop Cibles'!AD9))+MAX('Pop Cibles'!T9,'Pop Cibles'!V9,'Pop Cibles'!X9,'Pop Cibles'!AA9,'Pop Cibles'!AE9)+MAX('Pop Cibles'!U9,'Pop Cibles'!W9,'Pop Cibles'!Y9,'Pop Cibles'!AB9,'Pop Cibles'!AF9)</f>
        <v>0</v>
      </c>
      <c r="AH9" s="22">
        <f>IF(SUM('Plan annuel Différentes Maladie'!K:K)&gt;0,0,'Plan annuel Différentes Maladie'!V9*Population!AD9)</f>
        <v>0</v>
      </c>
      <c r="AI9" s="22">
        <f>'Plan annuel Différentes Maladie'!V9*Population!AE9</f>
        <v>0</v>
      </c>
      <c r="AJ9" s="22">
        <f>'Plan annuel Différentes Maladie'!V9*Population!V9*'Page d''accueil'!$F$16</f>
        <v>0</v>
      </c>
      <c r="AK9" s="22">
        <f>'Plan annuel Différentes Maladie'!AC9*Population!X9*'Page d''accueil'!$F$15</f>
        <v>0</v>
      </c>
      <c r="AL9" s="22">
        <f>'Plan annuel Différentes Maladie'!AC9*Population!X9*'Page d''accueil'!$F$16</f>
        <v>0</v>
      </c>
      <c r="AM9" s="22">
        <f>'Plan annuel Différentes Maladie'!AJ9*Population!AE9</f>
        <v>0</v>
      </c>
      <c r="AN9" s="22">
        <f>'Plan annuel Différentes Maladie'!AJ9*Population!AB9</f>
        <v>0</v>
      </c>
      <c r="AO9" s="22">
        <f>'Plan annuel Différentes Maladie'!AQ9*Population!AD9</f>
        <v>0</v>
      </c>
      <c r="AP9" s="22">
        <f>'Plan annuel Différentes Maladie'!AQ9*Population!AE9</f>
        <v>0</v>
      </c>
      <c r="AQ9" s="22">
        <f>'Plan annuel Différentes Maladie'!AQ9*Population!AC9</f>
        <v>0</v>
      </c>
      <c r="AR9" s="22">
        <f>'Plan annuel Différentes Maladie'!AX9*Population!Y9*'Page d''accueil'!$J$14</f>
        <v>0</v>
      </c>
      <c r="AS9" s="22">
        <f>'Plan annuel Différentes Maladie'!AX9*Population!Y9*'Page d''accueil'!$J$15</f>
        <v>0</v>
      </c>
      <c r="AT9" s="22">
        <f>'Plan annuel Différentes Maladie'!AX9*Population!Y9*'Page d''accueil'!$F$15</f>
        <v>0</v>
      </c>
      <c r="AU9" s="22">
        <f>'Plan annuel Différentes Maladie'!AX9*Population!Y9*'Page d''accueil'!$F$16</f>
        <v>0</v>
      </c>
      <c r="AV9" s="22">
        <f>MAX('Pop Cibles'!AH9,'Pop Cibles'!AO9,('Pop Cibles'!AR9+'Pop Cibles'!AS9))+MAX('Pop Cibles'!AI9,'Pop Cibles'!AK9,'Pop Cibles'!AM9,'Pop Cibles'!AP9,'Pop Cibles'!AT9)+MAX('Pop Cibles'!AJ9,'Pop Cibles'!AL9,'Pop Cibles'!AN9,'Pop Cibles'!AQ9,'Pop Cibles'!AU9)</f>
        <v>0</v>
      </c>
      <c r="AW9" s="22">
        <f>IF(SUM('Plan annuel Différentes Maladie'!K:K)&gt;0,0,'Plan annuel Différentes Maladie'!W9*Population!AN9)</f>
        <v>0</v>
      </c>
      <c r="AX9" s="22">
        <f>'Plan annuel Différentes Maladie'!W9*Population!AO9</f>
        <v>0</v>
      </c>
      <c r="AY9" s="22">
        <f>'Plan annuel Différentes Maladie'!W9*Population!AF9*'Page d''accueil'!$F$16</f>
        <v>0</v>
      </c>
      <c r="AZ9" s="22">
        <f>'Plan annuel Différentes Maladie'!AD9*Population!AH9*'Page d''accueil'!$F$15</f>
        <v>0</v>
      </c>
      <c r="BA9" s="22">
        <f>'Plan annuel Différentes Maladie'!AD9*Population!AH9*'Page d''accueil'!$F$16</f>
        <v>0</v>
      </c>
      <c r="BB9" s="22">
        <f>'Plan annuel Différentes Maladie'!AK9*Population!AO9</f>
        <v>0</v>
      </c>
      <c r="BC9" s="22">
        <f>'Plan annuel Différentes Maladie'!AK9*Population!AL9</f>
        <v>0</v>
      </c>
      <c r="BD9" s="22">
        <f>'Plan annuel Différentes Maladie'!AR9*Population!AN9</f>
        <v>0</v>
      </c>
      <c r="BE9" s="22">
        <f>'Plan annuel Différentes Maladie'!AR9*Population!AO9</f>
        <v>0</v>
      </c>
      <c r="BF9" s="22">
        <f>'Plan annuel Différentes Maladie'!AR9*Population!AM9</f>
        <v>0</v>
      </c>
      <c r="BG9" s="22">
        <f>'Plan annuel Différentes Maladie'!AY9*Population!AI9*'Page d''accueil'!$J$14</f>
        <v>0</v>
      </c>
      <c r="BH9" s="22">
        <f>'Plan annuel Différentes Maladie'!AY9*Population!AI9*'Page d''accueil'!$J$15</f>
        <v>0</v>
      </c>
      <c r="BI9" s="22">
        <f>'Plan annuel Différentes Maladie'!AY9*Population!AI9*'Page d''accueil'!$F$15</f>
        <v>0</v>
      </c>
      <c r="BJ9" s="22">
        <f>'Plan annuel Différentes Maladie'!AY9*Population!AI9*'Page d''accueil'!$F$16</f>
        <v>0</v>
      </c>
      <c r="BK9" s="22">
        <f>MAX('Pop Cibles'!AW9,'Pop Cibles'!BD9,('Pop Cibles'!BG9+'Pop Cibles'!BH9))+MAX('Pop Cibles'!AX9,'Pop Cibles'!AZ9,'Pop Cibles'!BB9,'Pop Cibles'!BE9,'Pop Cibles'!BI9)+MAX('Pop Cibles'!AY9,'Pop Cibles'!BA9,'Pop Cibles'!BC9,'Pop Cibles'!BF9,'Pop Cibles'!BJ9)</f>
        <v>0</v>
      </c>
      <c r="BL9" s="22">
        <f>IF(SUM('Plan annuel Différentes Maladie'!K:K)&gt;0,0,'Plan annuel Différentes Maladie'!X9*Population!AX9)</f>
        <v>0</v>
      </c>
      <c r="BM9" s="22">
        <f>'Plan annuel Différentes Maladie'!X9*Population!AY9</f>
        <v>0</v>
      </c>
      <c r="BN9" s="22">
        <f>'Plan annuel Différentes Maladie'!X9*Population!AP9*'Page d''accueil'!$F$16</f>
        <v>0</v>
      </c>
      <c r="BO9" s="22">
        <f>'Plan annuel Différentes Maladie'!AE9*Population!AR9*'Page d''accueil'!$F$15</f>
        <v>0</v>
      </c>
      <c r="BP9" s="22">
        <f>'Plan annuel Différentes Maladie'!AE9*Population!AR9*'Page d''accueil'!$F$16</f>
        <v>0</v>
      </c>
      <c r="BQ9" s="22">
        <f>'Plan annuel Différentes Maladie'!AL9*Population!AY9</f>
        <v>0</v>
      </c>
      <c r="BR9" s="22">
        <f>'Plan annuel Différentes Maladie'!AL9*Population!AV9</f>
        <v>0</v>
      </c>
      <c r="BS9" s="22">
        <f>'Plan annuel Différentes Maladie'!AS9*Population!AX9</f>
        <v>0</v>
      </c>
      <c r="BT9" s="22">
        <f>'Plan annuel Différentes Maladie'!AS9*Population!AY9</f>
        <v>0</v>
      </c>
      <c r="BU9" s="22">
        <f>'Plan annuel Différentes Maladie'!AS9*Population!AW9</f>
        <v>0</v>
      </c>
      <c r="BV9" s="22">
        <f>'Plan annuel Différentes Maladie'!AZ9*Population!AS9*'Page d''accueil'!$J$14</f>
        <v>0</v>
      </c>
      <c r="BW9" s="22">
        <f>'Plan annuel Différentes Maladie'!AZ9*Population!AS9*'Page d''accueil'!$J$15</f>
        <v>0</v>
      </c>
      <c r="BX9" s="22">
        <f>'Plan annuel Différentes Maladie'!AZ9*Population!AS9*'Page d''accueil'!$F$15</f>
        <v>0</v>
      </c>
      <c r="BY9" s="22">
        <f>'Plan annuel Différentes Maladie'!AZ9*Population!AS9*'Page d''accueil'!$F$16</f>
        <v>0</v>
      </c>
      <c r="BZ9" s="22">
        <f>MAX('Pop Cibles'!BL9,'Pop Cibles'!BS9,('Pop Cibles'!BV9+'Pop Cibles'!BW9))+MAX('Pop Cibles'!BM9,'Pop Cibles'!BO9,'Pop Cibles'!BQ9,'Pop Cibles'!BT9,'Pop Cibles'!BX9)+MAX('Pop Cibles'!BN9,'Pop Cibles'!BP9,'Pop Cibles'!BR9,'Pop Cibles'!BU9,'Pop Cibles'!BY9)</f>
        <v>0</v>
      </c>
    </row>
    <row r="10" spans="1:78" s="5" customFormat="1" ht="12" customHeight="1">
      <c r="A10" s="19">
        <v>7</v>
      </c>
      <c r="B10" s="21" t="str">
        <f>'Plan annuel Différentes Maladie'!B10</f>
        <v>CONAKRY</v>
      </c>
      <c r="C10" s="21" t="str">
        <f>Population!C10</f>
        <v>Kaloum</v>
      </c>
      <c r="D10" s="22">
        <f>IF(SUM('Plan annuel Différentes Maladie'!K:K)&gt;0,0,'Plan annuel Différentes Maladie'!T10*Population!J10)</f>
        <v>0</v>
      </c>
      <c r="E10" s="22">
        <f>'Plan annuel Différentes Maladie'!T10*Population!K10</f>
        <v>0</v>
      </c>
      <c r="F10" s="22">
        <f>'Plan annuel Différentes Maladie'!T10*Population!D10*'Page d''accueil'!$F$16</f>
        <v>0</v>
      </c>
      <c r="G10" s="22">
        <f>'Plan annuel Différentes Maladie'!AA10*Population!F10*'Page d''accueil'!$F$15</f>
        <v>0</v>
      </c>
      <c r="H10" s="22">
        <f>'Plan annuel Différentes Maladie'!AA10*Population!F10*'Page d''accueil'!$F$16</f>
        <v>0</v>
      </c>
      <c r="I10" s="22">
        <f>'Plan annuel Différentes Maladie'!AH10*Population!K10</f>
        <v>0</v>
      </c>
      <c r="J10" s="22">
        <f>'Plan annuel Différentes Maladie'!AH10*Population!H10</f>
        <v>0</v>
      </c>
      <c r="K10" s="22">
        <f>'Plan annuel Différentes Maladie'!AO10*Population!J10</f>
        <v>0</v>
      </c>
      <c r="L10" s="22">
        <f>'Plan annuel Différentes Maladie'!AO10*Population!K10</f>
        <v>0</v>
      </c>
      <c r="M10" s="22">
        <f>'Plan annuel Différentes Maladie'!AO10*Population!I10</f>
        <v>0</v>
      </c>
      <c r="N10" s="22">
        <f>'Plan annuel Différentes Maladie'!AV10*Population!G10*'Page d''accueil'!$J$14</f>
        <v>0</v>
      </c>
      <c r="O10" s="22">
        <f>'Plan annuel Différentes Maladie'!AV10*Population!G10*'Page d''accueil'!$J$15</f>
        <v>0</v>
      </c>
      <c r="P10" s="22">
        <f>'Plan annuel Différentes Maladie'!AV10*Population!G10*'Page d''accueil'!$F$15</f>
        <v>0</v>
      </c>
      <c r="Q10" s="22">
        <f>'Plan annuel Différentes Maladie'!AV10*Population!G10*'Page d''accueil'!$F$16</f>
        <v>0</v>
      </c>
      <c r="R10" s="22">
        <f>MAX('Pop Cibles'!D10,'Pop Cibles'!K10,('Pop Cibles'!N10+'Pop Cibles'!O10))+MAX('Pop Cibles'!E10,'Pop Cibles'!G10,'Pop Cibles'!I10,'Pop Cibles'!L10,'Pop Cibles'!P10)+MAX('Pop Cibles'!F10,'Pop Cibles'!H10,'Pop Cibles'!J10,'Pop Cibles'!M10,'Pop Cibles'!Q10)</f>
        <v>0</v>
      </c>
      <c r="S10" s="22">
        <f>IF(SUM('Plan annuel Différentes Maladie'!K:K)&gt;0,0,'Plan annuel Différentes Maladie'!U10*Population!T10)</f>
        <v>0</v>
      </c>
      <c r="T10" s="22">
        <f>'Plan annuel Différentes Maladie'!U10*Population!U10</f>
        <v>0</v>
      </c>
      <c r="U10" s="22">
        <f>'Plan annuel Différentes Maladie'!U10*Population!L10*'Page d''accueil'!$F$16</f>
        <v>0</v>
      </c>
      <c r="V10" s="22">
        <f>'Plan annuel Différentes Maladie'!AB10*Population!N10*'Page d''accueil'!$F$15</f>
        <v>0</v>
      </c>
      <c r="W10" s="22">
        <f>'Plan annuel Différentes Maladie'!AB10*Population!N10*'Page d''accueil'!$F$16</f>
        <v>0</v>
      </c>
      <c r="X10" s="22">
        <f>'Plan annuel Différentes Maladie'!AI10*Population!U10</f>
        <v>0</v>
      </c>
      <c r="Y10" s="22">
        <f>'Plan annuel Différentes Maladie'!AI10*Population!R10</f>
        <v>0</v>
      </c>
      <c r="Z10" s="22">
        <f>'Plan annuel Différentes Maladie'!AP10*Population!T10</f>
        <v>0</v>
      </c>
      <c r="AA10" s="22">
        <f>'Plan annuel Différentes Maladie'!AP10*Population!U10</f>
        <v>0</v>
      </c>
      <c r="AB10" s="22">
        <f>'Plan annuel Différentes Maladie'!AP10*Population!S10</f>
        <v>0</v>
      </c>
      <c r="AC10" s="22">
        <f>'Plan annuel Différentes Maladie'!AW10*Population!Q10*'Page d''accueil'!$J$14</f>
        <v>0</v>
      </c>
      <c r="AD10" s="22">
        <f>'Plan annuel Différentes Maladie'!AW10*Population!Q10*'Page d''accueil'!$J$15</f>
        <v>0</v>
      </c>
      <c r="AE10" s="22">
        <f>'Plan annuel Différentes Maladie'!AW10*Population!Q10*'Page d''accueil'!$F$15</f>
        <v>0</v>
      </c>
      <c r="AF10" s="22">
        <f>'Plan annuel Différentes Maladie'!AW10*Population!Q10*'Page d''accueil'!$F$16</f>
        <v>0</v>
      </c>
      <c r="AG10" s="22">
        <f>MAX('Pop Cibles'!S10,'Pop Cibles'!Z10,('Pop Cibles'!AC10+'Pop Cibles'!AD10))+MAX('Pop Cibles'!T10,'Pop Cibles'!V10,'Pop Cibles'!X10,'Pop Cibles'!AA10,'Pop Cibles'!AE10)+MAX('Pop Cibles'!U10,'Pop Cibles'!W10,'Pop Cibles'!Y10,'Pop Cibles'!AB10,'Pop Cibles'!AF10)</f>
        <v>0</v>
      </c>
      <c r="AH10" s="22">
        <f>IF(SUM('Plan annuel Différentes Maladie'!K:K)&gt;0,0,'Plan annuel Différentes Maladie'!V10*Population!AD10)</f>
        <v>0</v>
      </c>
      <c r="AI10" s="22">
        <f>'Plan annuel Différentes Maladie'!V10*Population!AE10</f>
        <v>0</v>
      </c>
      <c r="AJ10" s="22">
        <f>'Plan annuel Différentes Maladie'!V10*Population!V10*'Page d''accueil'!$F$16</f>
        <v>0</v>
      </c>
      <c r="AK10" s="22">
        <f>'Plan annuel Différentes Maladie'!AC10*Population!X10*'Page d''accueil'!$F$15</f>
        <v>0</v>
      </c>
      <c r="AL10" s="22">
        <f>'Plan annuel Différentes Maladie'!AC10*Population!X10*'Page d''accueil'!$F$16</f>
        <v>0</v>
      </c>
      <c r="AM10" s="22">
        <f>'Plan annuel Différentes Maladie'!AJ10*Population!AE10</f>
        <v>0</v>
      </c>
      <c r="AN10" s="22">
        <f>'Plan annuel Différentes Maladie'!AJ10*Population!AB10</f>
        <v>0</v>
      </c>
      <c r="AO10" s="22">
        <f>'Plan annuel Différentes Maladie'!AQ10*Population!AD10</f>
        <v>0</v>
      </c>
      <c r="AP10" s="22">
        <f>'Plan annuel Différentes Maladie'!AQ10*Population!AE10</f>
        <v>0</v>
      </c>
      <c r="AQ10" s="22">
        <f>'Plan annuel Différentes Maladie'!AQ10*Population!AC10</f>
        <v>0</v>
      </c>
      <c r="AR10" s="22">
        <f>'Plan annuel Différentes Maladie'!AX10*Population!Y10*'Page d''accueil'!$J$14</f>
        <v>0</v>
      </c>
      <c r="AS10" s="22">
        <f>'Plan annuel Différentes Maladie'!AX10*Population!Y10*'Page d''accueil'!$J$15</f>
        <v>0</v>
      </c>
      <c r="AT10" s="22">
        <f>'Plan annuel Différentes Maladie'!AX10*Population!Y10*'Page d''accueil'!$F$15</f>
        <v>0</v>
      </c>
      <c r="AU10" s="22">
        <f>'Plan annuel Différentes Maladie'!AX10*Population!Y10*'Page d''accueil'!$F$16</f>
        <v>0</v>
      </c>
      <c r="AV10" s="22">
        <f>MAX('Pop Cibles'!AH10,'Pop Cibles'!AO10,('Pop Cibles'!AR10+'Pop Cibles'!AS10))+MAX('Pop Cibles'!AI10,'Pop Cibles'!AK10,'Pop Cibles'!AM10,'Pop Cibles'!AP10,'Pop Cibles'!AT10)+MAX('Pop Cibles'!AJ10,'Pop Cibles'!AL10,'Pop Cibles'!AN10,'Pop Cibles'!AQ10,'Pop Cibles'!AU10)</f>
        <v>0</v>
      </c>
      <c r="AW10" s="22">
        <f>IF(SUM('Plan annuel Différentes Maladie'!K:K)&gt;0,0,'Plan annuel Différentes Maladie'!W10*Population!AN10)</f>
        <v>0</v>
      </c>
      <c r="AX10" s="22">
        <f>'Plan annuel Différentes Maladie'!W10*Population!AO10</f>
        <v>0</v>
      </c>
      <c r="AY10" s="22">
        <f>'Plan annuel Différentes Maladie'!W10*Population!AF10*'Page d''accueil'!$F$16</f>
        <v>0</v>
      </c>
      <c r="AZ10" s="22">
        <f>'Plan annuel Différentes Maladie'!AD10*Population!AH10*'Page d''accueil'!$F$15</f>
        <v>0</v>
      </c>
      <c r="BA10" s="22">
        <f>'Plan annuel Différentes Maladie'!AD10*Population!AH10*'Page d''accueil'!$F$16</f>
        <v>0</v>
      </c>
      <c r="BB10" s="22">
        <f>'Plan annuel Différentes Maladie'!AK10*Population!AO10</f>
        <v>0</v>
      </c>
      <c r="BC10" s="22">
        <f>'Plan annuel Différentes Maladie'!AK10*Population!AL10</f>
        <v>0</v>
      </c>
      <c r="BD10" s="22">
        <f>'Plan annuel Différentes Maladie'!AR10*Population!AN10</f>
        <v>0</v>
      </c>
      <c r="BE10" s="22">
        <f>'Plan annuel Différentes Maladie'!AR10*Population!AO10</f>
        <v>0</v>
      </c>
      <c r="BF10" s="22">
        <f>'Plan annuel Différentes Maladie'!AR10*Population!AM10</f>
        <v>0</v>
      </c>
      <c r="BG10" s="22">
        <f>'Plan annuel Différentes Maladie'!AY10*Population!AI10*'Page d''accueil'!$J$14</f>
        <v>0</v>
      </c>
      <c r="BH10" s="22">
        <f>'Plan annuel Différentes Maladie'!AY10*Population!AI10*'Page d''accueil'!$J$15</f>
        <v>0</v>
      </c>
      <c r="BI10" s="22">
        <f>'Plan annuel Différentes Maladie'!AY10*Population!AI10*'Page d''accueil'!$F$15</f>
        <v>0</v>
      </c>
      <c r="BJ10" s="22">
        <f>'Plan annuel Différentes Maladie'!AY10*Population!AI10*'Page d''accueil'!$F$16</f>
        <v>0</v>
      </c>
      <c r="BK10" s="22">
        <f>MAX('Pop Cibles'!AW10,'Pop Cibles'!BD10,('Pop Cibles'!BG10+'Pop Cibles'!BH10))+MAX('Pop Cibles'!AX10,'Pop Cibles'!AZ10,'Pop Cibles'!BB10,'Pop Cibles'!BE10,'Pop Cibles'!BI10)+MAX('Pop Cibles'!AY10,'Pop Cibles'!BA10,'Pop Cibles'!BC10,'Pop Cibles'!BF10,'Pop Cibles'!BJ10)</f>
        <v>0</v>
      </c>
      <c r="BL10" s="22">
        <f>IF(SUM('Plan annuel Différentes Maladie'!K:K)&gt;0,0,'Plan annuel Différentes Maladie'!X10*Population!AX10)</f>
        <v>0</v>
      </c>
      <c r="BM10" s="22">
        <f>'Plan annuel Différentes Maladie'!X10*Population!AY10</f>
        <v>0</v>
      </c>
      <c r="BN10" s="22">
        <f>'Plan annuel Différentes Maladie'!X10*Population!AP10*'Page d''accueil'!$F$16</f>
        <v>0</v>
      </c>
      <c r="BO10" s="22">
        <f>'Plan annuel Différentes Maladie'!AE10*Population!AR10*'Page d''accueil'!$F$15</f>
        <v>0</v>
      </c>
      <c r="BP10" s="22">
        <f>'Plan annuel Différentes Maladie'!AE10*Population!AR10*'Page d''accueil'!$F$16</f>
        <v>0</v>
      </c>
      <c r="BQ10" s="22">
        <f>'Plan annuel Différentes Maladie'!AL10*Population!AY10</f>
        <v>0</v>
      </c>
      <c r="BR10" s="22">
        <f>'Plan annuel Différentes Maladie'!AL10*Population!AV10</f>
        <v>0</v>
      </c>
      <c r="BS10" s="22">
        <f>'Plan annuel Différentes Maladie'!AS10*Population!AX10</f>
        <v>0</v>
      </c>
      <c r="BT10" s="22">
        <f>'Plan annuel Différentes Maladie'!AS10*Population!AY10</f>
        <v>0</v>
      </c>
      <c r="BU10" s="22">
        <f>'Plan annuel Différentes Maladie'!AS10*Population!AW10</f>
        <v>0</v>
      </c>
      <c r="BV10" s="22">
        <f>'Plan annuel Différentes Maladie'!AZ10*Population!AS10*'Page d''accueil'!$J$14</f>
        <v>0</v>
      </c>
      <c r="BW10" s="22">
        <f>'Plan annuel Différentes Maladie'!AZ10*Population!AS10*'Page d''accueil'!$J$15</f>
        <v>0</v>
      </c>
      <c r="BX10" s="22">
        <f>'Plan annuel Différentes Maladie'!AZ10*Population!AS10*'Page d''accueil'!$F$15</f>
        <v>0</v>
      </c>
      <c r="BY10" s="22">
        <f>'Plan annuel Différentes Maladie'!AZ10*Population!AS10*'Page d''accueil'!$F$16</f>
        <v>0</v>
      </c>
      <c r="BZ10" s="22">
        <f>MAX('Pop Cibles'!BL10,'Pop Cibles'!BS10,('Pop Cibles'!BV10+'Pop Cibles'!BW10))+MAX('Pop Cibles'!BM10,'Pop Cibles'!BO10,'Pop Cibles'!BQ10,'Pop Cibles'!BT10,'Pop Cibles'!BX10)+MAX('Pop Cibles'!BN10,'Pop Cibles'!BP10,'Pop Cibles'!BR10,'Pop Cibles'!BU10,'Pop Cibles'!BY10)</f>
        <v>0</v>
      </c>
    </row>
    <row r="11" spans="1:78" s="5" customFormat="1" ht="12" customHeight="1">
      <c r="A11" s="19">
        <v>8</v>
      </c>
      <c r="B11" s="21" t="str">
        <f>'Plan annuel Différentes Maladie'!B11</f>
        <v>CONAKRY</v>
      </c>
      <c r="C11" s="21" t="str">
        <f>Population!C11</f>
        <v>Matam</v>
      </c>
      <c r="D11" s="22">
        <f>IF(SUM('Plan annuel Différentes Maladie'!K:K)&gt;0,0,'Plan annuel Différentes Maladie'!T11*Population!J11)</f>
        <v>0</v>
      </c>
      <c r="E11" s="22">
        <f>'Plan annuel Différentes Maladie'!T11*Population!K11</f>
        <v>0</v>
      </c>
      <c r="F11" s="22">
        <f>'Plan annuel Différentes Maladie'!T11*Population!D11*'Page d''accueil'!$F$16</f>
        <v>0</v>
      </c>
      <c r="G11" s="22">
        <f>'Plan annuel Différentes Maladie'!AA11*Population!F11*'Page d''accueil'!$F$15</f>
        <v>0</v>
      </c>
      <c r="H11" s="22">
        <f>'Plan annuel Différentes Maladie'!AA11*Population!F11*'Page d''accueil'!$F$16</f>
        <v>0</v>
      </c>
      <c r="I11" s="22">
        <f>'Plan annuel Différentes Maladie'!AH11*Population!K11</f>
        <v>0</v>
      </c>
      <c r="J11" s="22">
        <f>'Plan annuel Différentes Maladie'!AH11*Population!H11</f>
        <v>0</v>
      </c>
      <c r="K11" s="22">
        <f>'Plan annuel Différentes Maladie'!AO11*Population!J11</f>
        <v>0</v>
      </c>
      <c r="L11" s="22">
        <f>'Plan annuel Différentes Maladie'!AO11*Population!K11</f>
        <v>0</v>
      </c>
      <c r="M11" s="22">
        <f>'Plan annuel Différentes Maladie'!AO11*Population!I11</f>
        <v>0</v>
      </c>
      <c r="N11" s="22">
        <f>'Plan annuel Différentes Maladie'!AV11*Population!G11*'Page d''accueil'!$J$14</f>
        <v>0</v>
      </c>
      <c r="O11" s="22">
        <f>'Plan annuel Différentes Maladie'!AV11*Population!G11*'Page d''accueil'!$J$15</f>
        <v>0</v>
      </c>
      <c r="P11" s="22">
        <f>'Plan annuel Différentes Maladie'!AV11*Population!G11*'Page d''accueil'!$F$15</f>
        <v>0</v>
      </c>
      <c r="Q11" s="22">
        <f>'Plan annuel Différentes Maladie'!AV11*Population!G11*'Page d''accueil'!$F$16</f>
        <v>0</v>
      </c>
      <c r="R11" s="22">
        <f>MAX('Pop Cibles'!D11,'Pop Cibles'!K11,('Pop Cibles'!N11+'Pop Cibles'!O11))+MAX('Pop Cibles'!E11,'Pop Cibles'!G11,'Pop Cibles'!I11,'Pop Cibles'!L11,'Pop Cibles'!P11)+MAX('Pop Cibles'!F11,'Pop Cibles'!H11,'Pop Cibles'!J11,'Pop Cibles'!M11,'Pop Cibles'!Q11)</f>
        <v>0</v>
      </c>
      <c r="S11" s="22">
        <f>IF(SUM('Plan annuel Différentes Maladie'!K:K)&gt;0,0,'Plan annuel Différentes Maladie'!U11*Population!T11)</f>
        <v>0</v>
      </c>
      <c r="T11" s="22">
        <f>'Plan annuel Différentes Maladie'!U11*Population!U11</f>
        <v>0</v>
      </c>
      <c r="U11" s="22">
        <f>'Plan annuel Différentes Maladie'!U11*Population!L11*'Page d''accueil'!$F$16</f>
        <v>0</v>
      </c>
      <c r="V11" s="22">
        <f>'Plan annuel Différentes Maladie'!AB11*Population!N11*'Page d''accueil'!$F$15</f>
        <v>0</v>
      </c>
      <c r="W11" s="22">
        <f>'Plan annuel Différentes Maladie'!AB11*Population!N11*'Page d''accueil'!$F$16</f>
        <v>0</v>
      </c>
      <c r="X11" s="22">
        <f>'Plan annuel Différentes Maladie'!AI11*Population!U11</f>
        <v>0</v>
      </c>
      <c r="Y11" s="22">
        <f>'Plan annuel Différentes Maladie'!AI11*Population!R11</f>
        <v>0</v>
      </c>
      <c r="Z11" s="22">
        <f>'Plan annuel Différentes Maladie'!AP11*Population!T11</f>
        <v>0</v>
      </c>
      <c r="AA11" s="22">
        <f>'Plan annuel Différentes Maladie'!AP11*Population!U11</f>
        <v>0</v>
      </c>
      <c r="AB11" s="22">
        <f>'Plan annuel Différentes Maladie'!AP11*Population!S11</f>
        <v>0</v>
      </c>
      <c r="AC11" s="22">
        <f>'Plan annuel Différentes Maladie'!AW11*Population!Q11*'Page d''accueil'!$J$14</f>
        <v>0</v>
      </c>
      <c r="AD11" s="22">
        <f>'Plan annuel Différentes Maladie'!AW11*Population!Q11*'Page d''accueil'!$J$15</f>
        <v>0</v>
      </c>
      <c r="AE11" s="22">
        <f>'Plan annuel Différentes Maladie'!AW11*Population!Q11*'Page d''accueil'!$F$15</f>
        <v>0</v>
      </c>
      <c r="AF11" s="22">
        <f>'Plan annuel Différentes Maladie'!AW11*Population!Q11*'Page d''accueil'!$F$16</f>
        <v>0</v>
      </c>
      <c r="AG11" s="22">
        <f>MAX('Pop Cibles'!S11,'Pop Cibles'!Z11,('Pop Cibles'!AC11+'Pop Cibles'!AD11))+MAX('Pop Cibles'!T11,'Pop Cibles'!V11,'Pop Cibles'!X11,'Pop Cibles'!AA11,'Pop Cibles'!AE11)+MAX('Pop Cibles'!U11,'Pop Cibles'!W11,'Pop Cibles'!Y11,'Pop Cibles'!AB11,'Pop Cibles'!AF11)</f>
        <v>0</v>
      </c>
      <c r="AH11" s="22">
        <f>IF(SUM('Plan annuel Différentes Maladie'!K:K)&gt;0,0,'Plan annuel Différentes Maladie'!V11*Population!AD11)</f>
        <v>0</v>
      </c>
      <c r="AI11" s="22">
        <f>'Plan annuel Différentes Maladie'!V11*Population!AE11</f>
        <v>0</v>
      </c>
      <c r="AJ11" s="22">
        <f>'Plan annuel Différentes Maladie'!V11*Population!V11*'Page d''accueil'!$F$16</f>
        <v>0</v>
      </c>
      <c r="AK11" s="22">
        <f>'Plan annuel Différentes Maladie'!AC11*Population!X11*'Page d''accueil'!$F$15</f>
        <v>0</v>
      </c>
      <c r="AL11" s="22">
        <f>'Plan annuel Différentes Maladie'!AC11*Population!X11*'Page d''accueil'!$F$16</f>
        <v>0</v>
      </c>
      <c r="AM11" s="22">
        <f>'Plan annuel Différentes Maladie'!AJ11*Population!AE11</f>
        <v>0</v>
      </c>
      <c r="AN11" s="22">
        <f>'Plan annuel Différentes Maladie'!AJ11*Population!AB11</f>
        <v>0</v>
      </c>
      <c r="AO11" s="22">
        <f>'Plan annuel Différentes Maladie'!AQ11*Population!AD11</f>
        <v>0</v>
      </c>
      <c r="AP11" s="22">
        <f>'Plan annuel Différentes Maladie'!AQ11*Population!AE11</f>
        <v>0</v>
      </c>
      <c r="AQ11" s="22">
        <f>'Plan annuel Différentes Maladie'!AQ11*Population!AC11</f>
        <v>0</v>
      </c>
      <c r="AR11" s="22">
        <f>'Plan annuel Différentes Maladie'!AX11*Population!Y11*'Page d''accueil'!$J$14</f>
        <v>0</v>
      </c>
      <c r="AS11" s="22">
        <f>'Plan annuel Différentes Maladie'!AX11*Population!Y11*'Page d''accueil'!$J$15</f>
        <v>0</v>
      </c>
      <c r="AT11" s="22">
        <f>'Plan annuel Différentes Maladie'!AX11*Population!Y11*'Page d''accueil'!$F$15</f>
        <v>0</v>
      </c>
      <c r="AU11" s="22">
        <f>'Plan annuel Différentes Maladie'!AX11*Population!Y11*'Page d''accueil'!$F$16</f>
        <v>0</v>
      </c>
      <c r="AV11" s="22">
        <f>MAX('Pop Cibles'!AH11,'Pop Cibles'!AO11,('Pop Cibles'!AR11+'Pop Cibles'!AS11))+MAX('Pop Cibles'!AI11,'Pop Cibles'!AK11,'Pop Cibles'!AM11,'Pop Cibles'!AP11,'Pop Cibles'!AT11)+MAX('Pop Cibles'!AJ11,'Pop Cibles'!AL11,'Pop Cibles'!AN11,'Pop Cibles'!AQ11,'Pop Cibles'!AU11)</f>
        <v>0</v>
      </c>
      <c r="AW11" s="22">
        <f>IF(SUM('Plan annuel Différentes Maladie'!K:K)&gt;0,0,'Plan annuel Différentes Maladie'!W11*Population!AN11)</f>
        <v>0</v>
      </c>
      <c r="AX11" s="22">
        <f>'Plan annuel Différentes Maladie'!W11*Population!AO11</f>
        <v>0</v>
      </c>
      <c r="AY11" s="22">
        <f>'Plan annuel Différentes Maladie'!W11*Population!AF11*'Page d''accueil'!$F$16</f>
        <v>0</v>
      </c>
      <c r="AZ11" s="22">
        <f>'Plan annuel Différentes Maladie'!AD11*Population!AH11*'Page d''accueil'!$F$15</f>
        <v>0</v>
      </c>
      <c r="BA11" s="22">
        <f>'Plan annuel Différentes Maladie'!AD11*Population!AH11*'Page d''accueil'!$F$16</f>
        <v>0</v>
      </c>
      <c r="BB11" s="22">
        <f>'Plan annuel Différentes Maladie'!AK11*Population!AO11</f>
        <v>0</v>
      </c>
      <c r="BC11" s="22">
        <f>'Plan annuel Différentes Maladie'!AK11*Population!AL11</f>
        <v>0</v>
      </c>
      <c r="BD11" s="22">
        <f>'Plan annuel Différentes Maladie'!AR11*Population!AN11</f>
        <v>0</v>
      </c>
      <c r="BE11" s="22">
        <f>'Plan annuel Différentes Maladie'!AR11*Population!AO11</f>
        <v>0</v>
      </c>
      <c r="BF11" s="22">
        <f>'Plan annuel Différentes Maladie'!AR11*Population!AM11</f>
        <v>0</v>
      </c>
      <c r="BG11" s="22">
        <f>'Plan annuel Différentes Maladie'!AY11*Population!AI11*'Page d''accueil'!$J$14</f>
        <v>0</v>
      </c>
      <c r="BH11" s="22">
        <f>'Plan annuel Différentes Maladie'!AY11*Population!AI11*'Page d''accueil'!$J$15</f>
        <v>0</v>
      </c>
      <c r="BI11" s="22">
        <f>'Plan annuel Différentes Maladie'!AY11*Population!AI11*'Page d''accueil'!$F$15</f>
        <v>0</v>
      </c>
      <c r="BJ11" s="22">
        <f>'Plan annuel Différentes Maladie'!AY11*Population!AI11*'Page d''accueil'!$F$16</f>
        <v>0</v>
      </c>
      <c r="BK11" s="22">
        <f>MAX('Pop Cibles'!AW11,'Pop Cibles'!BD11,('Pop Cibles'!BG11+'Pop Cibles'!BH11))+MAX('Pop Cibles'!AX11,'Pop Cibles'!AZ11,'Pop Cibles'!BB11,'Pop Cibles'!BE11,'Pop Cibles'!BI11)+MAX('Pop Cibles'!AY11,'Pop Cibles'!BA11,'Pop Cibles'!BC11,'Pop Cibles'!BF11,'Pop Cibles'!BJ11)</f>
        <v>0</v>
      </c>
      <c r="BL11" s="22">
        <f>IF(SUM('Plan annuel Différentes Maladie'!K:K)&gt;0,0,'Plan annuel Différentes Maladie'!X11*Population!AX11)</f>
        <v>0</v>
      </c>
      <c r="BM11" s="22">
        <f>'Plan annuel Différentes Maladie'!X11*Population!AY11</f>
        <v>0</v>
      </c>
      <c r="BN11" s="22">
        <f>'Plan annuel Différentes Maladie'!X11*Population!AP11*'Page d''accueil'!$F$16</f>
        <v>0</v>
      </c>
      <c r="BO11" s="22">
        <f>'Plan annuel Différentes Maladie'!AE11*Population!AR11*'Page d''accueil'!$F$15</f>
        <v>0</v>
      </c>
      <c r="BP11" s="22">
        <f>'Plan annuel Différentes Maladie'!AE11*Population!AR11*'Page d''accueil'!$F$16</f>
        <v>0</v>
      </c>
      <c r="BQ11" s="22">
        <f>'Plan annuel Différentes Maladie'!AL11*Population!AY11</f>
        <v>0</v>
      </c>
      <c r="BR11" s="22">
        <f>'Plan annuel Différentes Maladie'!AL11*Population!AV11</f>
        <v>0</v>
      </c>
      <c r="BS11" s="22">
        <f>'Plan annuel Différentes Maladie'!AS11*Population!AX11</f>
        <v>0</v>
      </c>
      <c r="BT11" s="22">
        <f>'Plan annuel Différentes Maladie'!AS11*Population!AY11</f>
        <v>0</v>
      </c>
      <c r="BU11" s="22">
        <f>'Plan annuel Différentes Maladie'!AS11*Population!AW11</f>
        <v>0</v>
      </c>
      <c r="BV11" s="22">
        <f>'Plan annuel Différentes Maladie'!AZ11*Population!AS11*'Page d''accueil'!$J$14</f>
        <v>0</v>
      </c>
      <c r="BW11" s="22">
        <f>'Plan annuel Différentes Maladie'!AZ11*Population!AS11*'Page d''accueil'!$J$15</f>
        <v>0</v>
      </c>
      <c r="BX11" s="22">
        <f>'Plan annuel Différentes Maladie'!AZ11*Population!AS11*'Page d''accueil'!$F$15</f>
        <v>0</v>
      </c>
      <c r="BY11" s="22">
        <f>'Plan annuel Différentes Maladie'!AZ11*Population!AS11*'Page d''accueil'!$F$16</f>
        <v>0</v>
      </c>
      <c r="BZ11" s="22">
        <f>MAX('Pop Cibles'!BL11,'Pop Cibles'!BS11,('Pop Cibles'!BV11+'Pop Cibles'!BW11))+MAX('Pop Cibles'!BM11,'Pop Cibles'!BO11,'Pop Cibles'!BQ11,'Pop Cibles'!BT11,'Pop Cibles'!BX11)+MAX('Pop Cibles'!BN11,'Pop Cibles'!BP11,'Pop Cibles'!BR11,'Pop Cibles'!BU11,'Pop Cibles'!BY11)</f>
        <v>0</v>
      </c>
    </row>
    <row r="12" spans="1:78" s="5" customFormat="1" ht="12" customHeight="1">
      <c r="A12" s="19">
        <v>9</v>
      </c>
      <c r="B12" s="21" t="str">
        <f>'Plan annuel Différentes Maladie'!B12</f>
        <v>CONAKRY</v>
      </c>
      <c r="C12" s="21" t="str">
        <f>Population!C12</f>
        <v>Matoto</v>
      </c>
      <c r="D12" s="22">
        <f>IF(SUM('Plan annuel Différentes Maladie'!K:K)&gt;0,0,'Plan annuel Différentes Maladie'!T12*Population!J12)</f>
        <v>0</v>
      </c>
      <c r="E12" s="22">
        <f>'Plan annuel Différentes Maladie'!T12*Population!K12</f>
        <v>0</v>
      </c>
      <c r="F12" s="22">
        <f>'Plan annuel Différentes Maladie'!T12*Population!D12*'Page d''accueil'!$F$16</f>
        <v>0</v>
      </c>
      <c r="G12" s="22">
        <f>'Plan annuel Différentes Maladie'!AA12*Population!F12*'Page d''accueil'!$F$15</f>
        <v>0</v>
      </c>
      <c r="H12" s="22">
        <f>'Plan annuel Différentes Maladie'!AA12*Population!F12*'Page d''accueil'!$F$16</f>
        <v>0</v>
      </c>
      <c r="I12" s="22">
        <f>'Plan annuel Différentes Maladie'!AH12*Population!K12</f>
        <v>189981.75</v>
      </c>
      <c r="J12" s="22">
        <f>'Plan annuel Différentes Maladie'!AH12*Population!H12</f>
        <v>0</v>
      </c>
      <c r="K12" s="22">
        <f>'Plan annuel Différentes Maladie'!AO12*Population!J12</f>
        <v>0</v>
      </c>
      <c r="L12" s="22">
        <f>'Plan annuel Différentes Maladie'!AO12*Population!K12</f>
        <v>0</v>
      </c>
      <c r="M12" s="22">
        <f>'Plan annuel Différentes Maladie'!AO12*Population!I12</f>
        <v>0</v>
      </c>
      <c r="N12" s="22">
        <f>'Plan annuel Différentes Maladie'!AV12*Population!G12*'Page d''accueil'!$J$14</f>
        <v>0</v>
      </c>
      <c r="O12" s="22">
        <f>'Plan annuel Différentes Maladie'!AV12*Population!G12*'Page d''accueil'!$J$15</f>
        <v>0</v>
      </c>
      <c r="P12" s="22">
        <f>'Plan annuel Différentes Maladie'!AV12*Population!G12*'Page d''accueil'!$F$15</f>
        <v>0</v>
      </c>
      <c r="Q12" s="22">
        <f>'Plan annuel Différentes Maladie'!AV12*Population!G12*'Page d''accueil'!$F$16</f>
        <v>0</v>
      </c>
      <c r="R12" s="22">
        <f>MAX('Pop Cibles'!D12,'Pop Cibles'!K12,('Pop Cibles'!N12+'Pop Cibles'!O12))+MAX('Pop Cibles'!E12,'Pop Cibles'!G12,'Pop Cibles'!I12,'Pop Cibles'!L12,'Pop Cibles'!P12)+MAX('Pop Cibles'!F12,'Pop Cibles'!H12,'Pop Cibles'!J12,'Pop Cibles'!M12,'Pop Cibles'!Q12)</f>
        <v>189981.75</v>
      </c>
      <c r="S12" s="22">
        <f>IF(SUM('Plan annuel Différentes Maladie'!K:K)&gt;0,0,'Plan annuel Différentes Maladie'!U12*Population!T12)</f>
        <v>0</v>
      </c>
      <c r="T12" s="22">
        <f>'Plan annuel Différentes Maladie'!U12*Population!U12</f>
        <v>0</v>
      </c>
      <c r="U12" s="22">
        <f>'Plan annuel Différentes Maladie'!U12*Population!L12*'Page d''accueil'!$F$16</f>
        <v>0</v>
      </c>
      <c r="V12" s="22">
        <f>'Plan annuel Différentes Maladie'!AB12*Population!N12*'Page d''accueil'!$F$15</f>
        <v>0</v>
      </c>
      <c r="W12" s="22">
        <f>'Plan annuel Différentes Maladie'!AB12*Population!N12*'Page d''accueil'!$F$16</f>
        <v>0</v>
      </c>
      <c r="X12" s="22">
        <f>'Plan annuel Différentes Maladie'!AI12*Population!U12</f>
        <v>0</v>
      </c>
      <c r="Y12" s="22">
        <f>'Plan annuel Différentes Maladie'!AI12*Population!R12</f>
        <v>0</v>
      </c>
      <c r="Z12" s="22">
        <f>'Plan annuel Différentes Maladie'!AP12*Population!T12</f>
        <v>0</v>
      </c>
      <c r="AA12" s="22">
        <f>'Plan annuel Différentes Maladie'!AP12*Population!U12</f>
        <v>0</v>
      </c>
      <c r="AB12" s="22">
        <f>'Plan annuel Différentes Maladie'!AP12*Population!S12</f>
        <v>0</v>
      </c>
      <c r="AC12" s="22">
        <f>'Plan annuel Différentes Maladie'!AW12*Population!Q12*'Page d''accueil'!$J$14</f>
        <v>0</v>
      </c>
      <c r="AD12" s="22">
        <f>'Plan annuel Différentes Maladie'!AW12*Population!Q12*'Page d''accueil'!$J$15</f>
        <v>0</v>
      </c>
      <c r="AE12" s="22">
        <f>'Plan annuel Différentes Maladie'!AW12*Population!Q12*'Page d''accueil'!$F$15</f>
        <v>0</v>
      </c>
      <c r="AF12" s="22">
        <f>'Plan annuel Différentes Maladie'!AW12*Population!Q12*'Page d''accueil'!$F$16</f>
        <v>0</v>
      </c>
      <c r="AG12" s="22">
        <f>MAX('Pop Cibles'!S12,'Pop Cibles'!Z12,('Pop Cibles'!AC12+'Pop Cibles'!AD12))+MAX('Pop Cibles'!T12,'Pop Cibles'!V12,'Pop Cibles'!X12,'Pop Cibles'!AA12,'Pop Cibles'!AE12)+MAX('Pop Cibles'!U12,'Pop Cibles'!W12,'Pop Cibles'!Y12,'Pop Cibles'!AB12,'Pop Cibles'!AF12)</f>
        <v>0</v>
      </c>
      <c r="AH12" s="22">
        <f>IF(SUM('Plan annuel Différentes Maladie'!K:K)&gt;0,0,'Plan annuel Différentes Maladie'!V12*Population!AD12)</f>
        <v>0</v>
      </c>
      <c r="AI12" s="22">
        <f>'Plan annuel Différentes Maladie'!V12*Population!AE12</f>
        <v>0</v>
      </c>
      <c r="AJ12" s="22">
        <f>'Plan annuel Différentes Maladie'!V12*Population!V12*'Page d''accueil'!$F$16</f>
        <v>0</v>
      </c>
      <c r="AK12" s="22">
        <f>'Plan annuel Différentes Maladie'!AC12*Population!X12*'Page d''accueil'!$F$15</f>
        <v>0</v>
      </c>
      <c r="AL12" s="22">
        <f>'Plan annuel Différentes Maladie'!AC12*Population!X12*'Page d''accueil'!$F$16</f>
        <v>0</v>
      </c>
      <c r="AM12" s="22">
        <f>'Plan annuel Différentes Maladie'!AJ12*Population!AE12</f>
        <v>200379.26119574998</v>
      </c>
      <c r="AN12" s="22">
        <f>'Plan annuel Différentes Maladie'!AJ12*Population!AB12</f>
        <v>0</v>
      </c>
      <c r="AO12" s="22">
        <f>'Plan annuel Différentes Maladie'!AQ12*Population!AD12</f>
        <v>0</v>
      </c>
      <c r="AP12" s="22">
        <f>'Plan annuel Différentes Maladie'!AQ12*Population!AE12</f>
        <v>0</v>
      </c>
      <c r="AQ12" s="22">
        <f>'Plan annuel Différentes Maladie'!AQ12*Population!AC12</f>
        <v>0</v>
      </c>
      <c r="AR12" s="22">
        <f>'Plan annuel Différentes Maladie'!AX12*Population!Y12*'Page d''accueil'!$J$14</f>
        <v>0</v>
      </c>
      <c r="AS12" s="22">
        <f>'Plan annuel Différentes Maladie'!AX12*Population!Y12*'Page d''accueil'!$J$15</f>
        <v>0</v>
      </c>
      <c r="AT12" s="22">
        <f>'Plan annuel Différentes Maladie'!AX12*Population!Y12*'Page d''accueil'!$F$15</f>
        <v>0</v>
      </c>
      <c r="AU12" s="22">
        <f>'Plan annuel Différentes Maladie'!AX12*Population!Y12*'Page d''accueil'!$F$16</f>
        <v>0</v>
      </c>
      <c r="AV12" s="22">
        <f>MAX('Pop Cibles'!AH12,'Pop Cibles'!AO12,('Pop Cibles'!AR12+'Pop Cibles'!AS12))+MAX('Pop Cibles'!AI12,'Pop Cibles'!AK12,'Pop Cibles'!AM12,'Pop Cibles'!AP12,'Pop Cibles'!AT12)+MAX('Pop Cibles'!AJ12,'Pop Cibles'!AL12,'Pop Cibles'!AN12,'Pop Cibles'!AQ12,'Pop Cibles'!AU12)</f>
        <v>200379.26119574998</v>
      </c>
      <c r="AW12" s="22">
        <f>IF(SUM('Plan annuel Différentes Maladie'!K:K)&gt;0,0,'Plan annuel Différentes Maladie'!W12*Population!AN12)</f>
        <v>0</v>
      </c>
      <c r="AX12" s="22">
        <f>'Plan annuel Différentes Maladie'!W12*Population!AO12</f>
        <v>0</v>
      </c>
      <c r="AY12" s="22">
        <f>'Plan annuel Différentes Maladie'!W12*Population!AF12*'Page d''accueil'!$F$16</f>
        <v>0</v>
      </c>
      <c r="AZ12" s="22">
        <f>'Plan annuel Différentes Maladie'!AD12*Population!AH12*'Page d''accueil'!$F$15</f>
        <v>0</v>
      </c>
      <c r="BA12" s="22">
        <f>'Plan annuel Différentes Maladie'!AD12*Population!AH12*'Page d''accueil'!$F$16</f>
        <v>0</v>
      </c>
      <c r="BB12" s="22">
        <f>'Plan annuel Différentes Maladie'!AK12*Population!AO12</f>
        <v>0</v>
      </c>
      <c r="BC12" s="22">
        <f>'Plan annuel Différentes Maladie'!AK12*Population!AL12</f>
        <v>0</v>
      </c>
      <c r="BD12" s="22">
        <f>'Plan annuel Différentes Maladie'!AR12*Population!AN12</f>
        <v>0</v>
      </c>
      <c r="BE12" s="22">
        <f>'Plan annuel Différentes Maladie'!AR12*Population!AO12</f>
        <v>0</v>
      </c>
      <c r="BF12" s="22">
        <f>'Plan annuel Différentes Maladie'!AR12*Population!AM12</f>
        <v>0</v>
      </c>
      <c r="BG12" s="22">
        <f>'Plan annuel Différentes Maladie'!AY12*Population!AI12*'Page d''accueil'!$J$14</f>
        <v>0</v>
      </c>
      <c r="BH12" s="22">
        <f>'Plan annuel Différentes Maladie'!AY12*Population!AI12*'Page d''accueil'!$J$15</f>
        <v>0</v>
      </c>
      <c r="BI12" s="22">
        <f>'Plan annuel Différentes Maladie'!AY12*Population!AI12*'Page d''accueil'!$F$15</f>
        <v>0</v>
      </c>
      <c r="BJ12" s="22">
        <f>'Plan annuel Différentes Maladie'!AY12*Population!AI12*'Page d''accueil'!$F$16</f>
        <v>0</v>
      </c>
      <c r="BK12" s="22">
        <f>MAX('Pop Cibles'!AW12,'Pop Cibles'!BD12,('Pop Cibles'!BG12+'Pop Cibles'!BH12))+MAX('Pop Cibles'!AX12,'Pop Cibles'!AZ12,'Pop Cibles'!BB12,'Pop Cibles'!BE12,'Pop Cibles'!BI12)+MAX('Pop Cibles'!AY12,'Pop Cibles'!BA12,'Pop Cibles'!BC12,'Pop Cibles'!BF12,'Pop Cibles'!BJ12)</f>
        <v>0</v>
      </c>
      <c r="BL12" s="22">
        <f>IF(SUM('Plan annuel Différentes Maladie'!K:K)&gt;0,0,'Plan annuel Différentes Maladie'!X12*Population!AX12)</f>
        <v>0</v>
      </c>
      <c r="BM12" s="22">
        <f>'Plan annuel Différentes Maladie'!X12*Population!AY12</f>
        <v>0</v>
      </c>
      <c r="BN12" s="22">
        <f>'Plan annuel Différentes Maladie'!X12*Population!AP12*'Page d''accueil'!$F$16</f>
        <v>0</v>
      </c>
      <c r="BO12" s="22">
        <f>'Plan annuel Différentes Maladie'!AE12*Population!AR12*'Page d''accueil'!$F$15</f>
        <v>0</v>
      </c>
      <c r="BP12" s="22">
        <f>'Plan annuel Différentes Maladie'!AE12*Population!AR12*'Page d''accueil'!$F$16</f>
        <v>0</v>
      </c>
      <c r="BQ12" s="22">
        <f>'Plan annuel Différentes Maladie'!AL12*Population!AY12</f>
        <v>211345.81778173213</v>
      </c>
      <c r="BR12" s="22">
        <f>'Plan annuel Différentes Maladie'!AL12*Population!AV12</f>
        <v>0</v>
      </c>
      <c r="BS12" s="22">
        <f>'Plan annuel Différentes Maladie'!AS12*Population!AX12</f>
        <v>0</v>
      </c>
      <c r="BT12" s="22">
        <f>'Plan annuel Différentes Maladie'!AS12*Population!AY12</f>
        <v>0</v>
      </c>
      <c r="BU12" s="22">
        <f>'Plan annuel Différentes Maladie'!AS12*Population!AW12</f>
        <v>0</v>
      </c>
      <c r="BV12" s="22">
        <f>'Plan annuel Différentes Maladie'!AZ12*Population!AS12*'Page d''accueil'!$J$14</f>
        <v>0</v>
      </c>
      <c r="BW12" s="22">
        <f>'Plan annuel Différentes Maladie'!AZ12*Population!AS12*'Page d''accueil'!$J$15</f>
        <v>0</v>
      </c>
      <c r="BX12" s="22">
        <f>'Plan annuel Différentes Maladie'!AZ12*Population!AS12*'Page d''accueil'!$F$15</f>
        <v>0</v>
      </c>
      <c r="BY12" s="22">
        <f>'Plan annuel Différentes Maladie'!AZ12*Population!AS12*'Page d''accueil'!$F$16</f>
        <v>0</v>
      </c>
      <c r="BZ12" s="22">
        <f>MAX('Pop Cibles'!BL12,'Pop Cibles'!BS12,('Pop Cibles'!BV12+'Pop Cibles'!BW12))+MAX('Pop Cibles'!BM12,'Pop Cibles'!BO12,'Pop Cibles'!BQ12,'Pop Cibles'!BT12,'Pop Cibles'!BX12)+MAX('Pop Cibles'!BN12,'Pop Cibles'!BP12,'Pop Cibles'!BR12,'Pop Cibles'!BU12,'Pop Cibles'!BY12)</f>
        <v>211345.81778173213</v>
      </c>
    </row>
    <row r="13" spans="1:78" s="5" customFormat="1" ht="12" customHeight="1">
      <c r="A13" s="19">
        <v>10</v>
      </c>
      <c r="B13" s="21" t="str">
        <f>'Plan annuel Différentes Maladie'!B13</f>
        <v>CONAKRY</v>
      </c>
      <c r="C13" s="21" t="str">
        <f>Population!C13</f>
        <v>Ratoma</v>
      </c>
      <c r="D13" s="22">
        <f>IF(SUM('Plan annuel Différentes Maladie'!K:K)&gt;0,0,'Plan annuel Différentes Maladie'!T13*Population!J13)</f>
        <v>0</v>
      </c>
      <c r="E13" s="22">
        <f>'Plan annuel Différentes Maladie'!T13*Population!K13</f>
        <v>0</v>
      </c>
      <c r="F13" s="22">
        <f>'Plan annuel Différentes Maladie'!T13*Population!D13*'Page d''accueil'!$F$16</f>
        <v>0</v>
      </c>
      <c r="G13" s="22">
        <f>'Plan annuel Différentes Maladie'!AA13*Population!F13*'Page d''accueil'!$F$15</f>
        <v>0</v>
      </c>
      <c r="H13" s="22">
        <f>'Plan annuel Différentes Maladie'!AA13*Population!F13*'Page d''accueil'!$F$16</f>
        <v>0</v>
      </c>
      <c r="I13" s="22">
        <f>'Plan annuel Différentes Maladie'!AH13*Population!K13</f>
        <v>186129.75</v>
      </c>
      <c r="J13" s="22">
        <f>'Plan annuel Différentes Maladie'!AH13*Population!H13</f>
        <v>0</v>
      </c>
      <c r="K13" s="22">
        <f>'Plan annuel Différentes Maladie'!AO13*Population!J13</f>
        <v>0</v>
      </c>
      <c r="L13" s="22">
        <f>'Plan annuel Différentes Maladie'!AO13*Population!K13</f>
        <v>0</v>
      </c>
      <c r="M13" s="22">
        <f>'Plan annuel Différentes Maladie'!AO13*Population!I13</f>
        <v>0</v>
      </c>
      <c r="N13" s="22">
        <f>'Plan annuel Différentes Maladie'!AV13*Population!G13*'Page d''accueil'!$J$14</f>
        <v>0</v>
      </c>
      <c r="O13" s="22">
        <f>'Plan annuel Différentes Maladie'!AV13*Population!G13*'Page d''accueil'!$J$15</f>
        <v>0</v>
      </c>
      <c r="P13" s="22">
        <f>'Plan annuel Différentes Maladie'!AV13*Population!G13*'Page d''accueil'!$F$15</f>
        <v>0</v>
      </c>
      <c r="Q13" s="22">
        <f>'Plan annuel Différentes Maladie'!AV13*Population!G13*'Page d''accueil'!$F$16</f>
        <v>0</v>
      </c>
      <c r="R13" s="22">
        <f>MAX('Pop Cibles'!D13,'Pop Cibles'!K13,('Pop Cibles'!N13+'Pop Cibles'!O13))+MAX('Pop Cibles'!E13,'Pop Cibles'!G13,'Pop Cibles'!I13,'Pop Cibles'!L13,'Pop Cibles'!P13)+MAX('Pop Cibles'!F13,'Pop Cibles'!H13,'Pop Cibles'!J13,'Pop Cibles'!M13,'Pop Cibles'!Q13)</f>
        <v>186129.75</v>
      </c>
      <c r="S13" s="22">
        <f>IF(SUM('Plan annuel Différentes Maladie'!K:K)&gt;0,0,'Plan annuel Différentes Maladie'!U13*Population!T13)</f>
        <v>0</v>
      </c>
      <c r="T13" s="22">
        <f>'Plan annuel Différentes Maladie'!U13*Population!U13</f>
        <v>0</v>
      </c>
      <c r="U13" s="22">
        <f>'Plan annuel Différentes Maladie'!U13*Population!L13*'Page d''accueil'!$F$16</f>
        <v>0</v>
      </c>
      <c r="V13" s="22">
        <f>'Plan annuel Différentes Maladie'!AB13*Population!N13*'Page d''accueil'!$F$15</f>
        <v>0</v>
      </c>
      <c r="W13" s="22">
        <f>'Plan annuel Différentes Maladie'!AB13*Population!N13*'Page d''accueil'!$F$16</f>
        <v>0</v>
      </c>
      <c r="X13" s="22">
        <f>'Plan annuel Différentes Maladie'!AI13*Population!U13</f>
        <v>0</v>
      </c>
      <c r="Y13" s="22">
        <f>'Plan annuel Différentes Maladie'!AI13*Population!R13</f>
        <v>0</v>
      </c>
      <c r="Z13" s="22">
        <f>'Plan annuel Différentes Maladie'!AP13*Population!T13</f>
        <v>0</v>
      </c>
      <c r="AA13" s="22">
        <f>'Plan annuel Différentes Maladie'!AP13*Population!U13</f>
        <v>0</v>
      </c>
      <c r="AB13" s="22">
        <f>'Plan annuel Différentes Maladie'!AP13*Population!S13</f>
        <v>0</v>
      </c>
      <c r="AC13" s="22">
        <f>'Plan annuel Différentes Maladie'!AW13*Population!Q13*'Page d''accueil'!$J$14</f>
        <v>0</v>
      </c>
      <c r="AD13" s="22">
        <f>'Plan annuel Différentes Maladie'!AW13*Population!Q13*'Page d''accueil'!$J$15</f>
        <v>0</v>
      </c>
      <c r="AE13" s="22">
        <f>'Plan annuel Différentes Maladie'!AW13*Population!Q13*'Page d''accueil'!$F$15</f>
        <v>0</v>
      </c>
      <c r="AF13" s="22">
        <f>'Plan annuel Différentes Maladie'!AW13*Population!Q13*'Page d''accueil'!$F$16</f>
        <v>0</v>
      </c>
      <c r="AG13" s="22">
        <f>MAX('Pop Cibles'!S13,'Pop Cibles'!Z13,('Pop Cibles'!AC13+'Pop Cibles'!AD13))+MAX('Pop Cibles'!T13,'Pop Cibles'!V13,'Pop Cibles'!X13,'Pop Cibles'!AA13,'Pop Cibles'!AE13)+MAX('Pop Cibles'!U13,'Pop Cibles'!W13,'Pop Cibles'!Y13,'Pop Cibles'!AB13,'Pop Cibles'!AF13)</f>
        <v>0</v>
      </c>
      <c r="AH13" s="22">
        <f>IF(SUM('Plan annuel Différentes Maladie'!K:K)&gt;0,0,'Plan annuel Différentes Maladie'!V13*Population!AD13)</f>
        <v>0</v>
      </c>
      <c r="AI13" s="22">
        <f>'Plan annuel Différentes Maladie'!V13*Population!AE13</f>
        <v>0</v>
      </c>
      <c r="AJ13" s="22">
        <f>'Plan annuel Différentes Maladie'!V13*Population!V13*'Page d''accueil'!$F$16</f>
        <v>0</v>
      </c>
      <c r="AK13" s="22">
        <f>'Plan annuel Différentes Maladie'!AC13*Population!X13*'Page d''accueil'!$F$15</f>
        <v>0</v>
      </c>
      <c r="AL13" s="22">
        <f>'Plan annuel Différentes Maladie'!AC13*Population!X13*'Page d''accueil'!$F$16</f>
        <v>0</v>
      </c>
      <c r="AM13" s="22">
        <f>'Plan annuel Différentes Maladie'!AJ13*Population!AE13</f>
        <v>196316.44508774998</v>
      </c>
      <c r="AN13" s="22">
        <f>'Plan annuel Différentes Maladie'!AJ13*Population!AB13</f>
        <v>0</v>
      </c>
      <c r="AO13" s="22">
        <f>'Plan annuel Différentes Maladie'!AQ13*Population!AD13</f>
        <v>0</v>
      </c>
      <c r="AP13" s="22">
        <f>'Plan annuel Différentes Maladie'!AQ13*Population!AE13</f>
        <v>0</v>
      </c>
      <c r="AQ13" s="22">
        <f>'Plan annuel Différentes Maladie'!AQ13*Population!AC13</f>
        <v>0</v>
      </c>
      <c r="AR13" s="22">
        <f>'Plan annuel Différentes Maladie'!AX13*Population!Y13*'Page d''accueil'!$J$14</f>
        <v>0</v>
      </c>
      <c r="AS13" s="22">
        <f>'Plan annuel Différentes Maladie'!AX13*Population!Y13*'Page d''accueil'!$J$15</f>
        <v>0</v>
      </c>
      <c r="AT13" s="22">
        <f>'Plan annuel Différentes Maladie'!AX13*Population!Y13*'Page d''accueil'!$F$15</f>
        <v>0</v>
      </c>
      <c r="AU13" s="22">
        <f>'Plan annuel Différentes Maladie'!AX13*Population!Y13*'Page d''accueil'!$F$16</f>
        <v>0</v>
      </c>
      <c r="AV13" s="22">
        <f>MAX('Pop Cibles'!AH13,'Pop Cibles'!AO13,('Pop Cibles'!AR13+'Pop Cibles'!AS13))+MAX('Pop Cibles'!AI13,'Pop Cibles'!AK13,'Pop Cibles'!AM13,'Pop Cibles'!AP13,'Pop Cibles'!AT13)+MAX('Pop Cibles'!AJ13,'Pop Cibles'!AL13,'Pop Cibles'!AN13,'Pop Cibles'!AQ13,'Pop Cibles'!AU13)</f>
        <v>196316.44508774998</v>
      </c>
      <c r="AW13" s="22">
        <f>IF(SUM('Plan annuel Différentes Maladie'!K:K)&gt;0,0,'Plan annuel Différentes Maladie'!W13*Population!AN13)</f>
        <v>0</v>
      </c>
      <c r="AX13" s="22">
        <f>'Plan annuel Différentes Maladie'!W13*Population!AO13</f>
        <v>0</v>
      </c>
      <c r="AY13" s="22">
        <f>'Plan annuel Différentes Maladie'!W13*Population!AF13*'Page d''accueil'!$F$16</f>
        <v>0</v>
      </c>
      <c r="AZ13" s="22">
        <f>'Plan annuel Différentes Maladie'!AD13*Population!AH13*'Page d''accueil'!$F$15</f>
        <v>0</v>
      </c>
      <c r="BA13" s="22">
        <f>'Plan annuel Différentes Maladie'!AD13*Population!AH13*'Page d''accueil'!$F$16</f>
        <v>0</v>
      </c>
      <c r="BB13" s="22">
        <f>'Plan annuel Différentes Maladie'!AK13*Population!AO13</f>
        <v>0</v>
      </c>
      <c r="BC13" s="22">
        <f>'Plan annuel Différentes Maladie'!AK13*Population!AL13</f>
        <v>0</v>
      </c>
      <c r="BD13" s="22">
        <f>'Plan annuel Différentes Maladie'!AR13*Population!AN13</f>
        <v>0</v>
      </c>
      <c r="BE13" s="22">
        <f>'Plan annuel Différentes Maladie'!AR13*Population!AO13</f>
        <v>0</v>
      </c>
      <c r="BF13" s="22">
        <f>'Plan annuel Différentes Maladie'!AR13*Population!AM13</f>
        <v>0</v>
      </c>
      <c r="BG13" s="22">
        <f>'Plan annuel Différentes Maladie'!AY13*Population!AI13*'Page d''accueil'!$J$14</f>
        <v>0</v>
      </c>
      <c r="BH13" s="22">
        <f>'Plan annuel Différentes Maladie'!AY13*Population!AI13*'Page d''accueil'!$J$15</f>
        <v>0</v>
      </c>
      <c r="BI13" s="22">
        <f>'Plan annuel Différentes Maladie'!AY13*Population!AI13*'Page d''accueil'!$F$15</f>
        <v>0</v>
      </c>
      <c r="BJ13" s="22">
        <f>'Plan annuel Différentes Maladie'!AY13*Population!AI13*'Page d''accueil'!$F$16</f>
        <v>0</v>
      </c>
      <c r="BK13" s="22">
        <f>MAX('Pop Cibles'!AW13,'Pop Cibles'!BD13,('Pop Cibles'!BG13+'Pop Cibles'!BH13))+MAX('Pop Cibles'!AX13,'Pop Cibles'!AZ13,'Pop Cibles'!BB13,'Pop Cibles'!BE13,'Pop Cibles'!BI13)+MAX('Pop Cibles'!AY13,'Pop Cibles'!BA13,'Pop Cibles'!BC13,'Pop Cibles'!BF13,'Pop Cibles'!BJ13)</f>
        <v>0</v>
      </c>
      <c r="BL13" s="22">
        <f>IF(SUM('Plan annuel Différentes Maladie'!K:K)&gt;0,0,'Plan annuel Différentes Maladie'!X13*Population!AX13)</f>
        <v>0</v>
      </c>
      <c r="BM13" s="22">
        <f>'Plan annuel Différentes Maladie'!X13*Population!AY13</f>
        <v>0</v>
      </c>
      <c r="BN13" s="22">
        <f>'Plan annuel Différentes Maladie'!X13*Population!AP13*'Page d''accueil'!$F$16</f>
        <v>0</v>
      </c>
      <c r="BO13" s="22">
        <f>'Plan annuel Différentes Maladie'!AE13*Population!AR13*'Page d''accueil'!$F$15</f>
        <v>0</v>
      </c>
      <c r="BP13" s="22">
        <f>'Plan annuel Différentes Maladie'!AE13*Population!AR13*'Page d''accueil'!$F$16</f>
        <v>0</v>
      </c>
      <c r="BQ13" s="22">
        <f>'Plan annuel Différentes Maladie'!AL13*Population!AY13</f>
        <v>207060.64781095739</v>
      </c>
      <c r="BR13" s="22">
        <f>'Plan annuel Différentes Maladie'!AL13*Population!AV13</f>
        <v>0</v>
      </c>
      <c r="BS13" s="22">
        <f>'Plan annuel Différentes Maladie'!AS13*Population!AX13</f>
        <v>0</v>
      </c>
      <c r="BT13" s="22">
        <f>'Plan annuel Différentes Maladie'!AS13*Population!AY13</f>
        <v>0</v>
      </c>
      <c r="BU13" s="22">
        <f>'Plan annuel Différentes Maladie'!AS13*Population!AW13</f>
        <v>0</v>
      </c>
      <c r="BV13" s="22">
        <f>'Plan annuel Différentes Maladie'!AZ13*Population!AS13*'Page d''accueil'!$J$14</f>
        <v>0</v>
      </c>
      <c r="BW13" s="22">
        <f>'Plan annuel Différentes Maladie'!AZ13*Population!AS13*'Page d''accueil'!$J$15</f>
        <v>0</v>
      </c>
      <c r="BX13" s="22">
        <f>'Plan annuel Différentes Maladie'!AZ13*Population!AS13*'Page d''accueil'!$F$15</f>
        <v>0</v>
      </c>
      <c r="BY13" s="22">
        <f>'Plan annuel Différentes Maladie'!AZ13*Population!AS13*'Page d''accueil'!$F$16</f>
        <v>0</v>
      </c>
      <c r="BZ13" s="22">
        <f>MAX('Pop Cibles'!BL13,'Pop Cibles'!BS13,('Pop Cibles'!BV13+'Pop Cibles'!BW13))+MAX('Pop Cibles'!BM13,'Pop Cibles'!BO13,'Pop Cibles'!BQ13,'Pop Cibles'!BT13,'Pop Cibles'!BX13)+MAX('Pop Cibles'!BN13,'Pop Cibles'!BP13,'Pop Cibles'!BR13,'Pop Cibles'!BU13,'Pop Cibles'!BY13)</f>
        <v>207060.64781095739</v>
      </c>
    </row>
    <row r="14" spans="1:78" s="5" customFormat="1" ht="12" customHeight="1">
      <c r="A14" s="19">
        <v>11</v>
      </c>
      <c r="B14" s="21" t="str">
        <f>'Plan annuel Différentes Maladie'!B14</f>
        <v>FARANAH</v>
      </c>
      <c r="C14" s="21" t="str">
        <f>Population!C14</f>
        <v>Dabola</v>
      </c>
      <c r="D14" s="22">
        <f>IF(SUM('Plan annuel Différentes Maladie'!K:K)&gt;0,0,'Plan annuel Différentes Maladie'!T14*Population!J14)</f>
        <v>0</v>
      </c>
      <c r="E14" s="22">
        <f>'Plan annuel Différentes Maladie'!T14*Population!K14</f>
        <v>51750.25</v>
      </c>
      <c r="F14" s="22">
        <f>'Plan annuel Différentes Maladie'!T14*Population!D14*'Page d''accueil'!$F$16</f>
        <v>113850.54999999999</v>
      </c>
      <c r="G14" s="22">
        <f>'Plan annuel Différentes Maladie'!AA14*Population!F14*'Page d''accueil'!$F$15</f>
        <v>41400.200000000004</v>
      </c>
      <c r="H14" s="22">
        <f>'Plan annuel Différentes Maladie'!AA14*Population!F14*'Page d''accueil'!$F$16</f>
        <v>91080.44</v>
      </c>
      <c r="I14" s="22">
        <f>'Plan annuel Différentes Maladie'!AH14*Population!K14</f>
        <v>0</v>
      </c>
      <c r="J14" s="22">
        <f>'Plan annuel Différentes Maladie'!AH14*Population!H14</f>
        <v>0</v>
      </c>
      <c r="K14" s="22">
        <f>'Plan annuel Différentes Maladie'!AO14*Population!J14</f>
        <v>0</v>
      </c>
      <c r="L14" s="22">
        <f>'Plan annuel Différentes Maladie'!AO14*Population!K14</f>
        <v>0</v>
      </c>
      <c r="M14" s="22">
        <f>'Plan annuel Différentes Maladie'!AO14*Population!I14</f>
        <v>0</v>
      </c>
      <c r="N14" s="22">
        <f>'Plan annuel Différentes Maladie'!AV14*Population!G14*'Page d''accueil'!$J$14</f>
        <v>3312.0160000000005</v>
      </c>
      <c r="O14" s="22">
        <f>'Plan annuel Différentes Maladie'!AV14*Population!G14*'Page d''accueil'!$J$15</f>
        <v>29808.144</v>
      </c>
      <c r="P14" s="22">
        <f>'Plan annuel Différentes Maladie'!AV14*Population!G14*'Page d''accueil'!$F$15</f>
        <v>41400.200000000004</v>
      </c>
      <c r="Q14" s="22">
        <f>'Plan annuel Différentes Maladie'!AV14*Population!G14*'Page d''accueil'!$F$16</f>
        <v>91080.44</v>
      </c>
      <c r="R14" s="22">
        <f>MAX('Pop Cibles'!D14,'Pop Cibles'!K14,('Pop Cibles'!N14+'Pop Cibles'!O14))+MAX('Pop Cibles'!E14,'Pop Cibles'!G14,'Pop Cibles'!I14,'Pop Cibles'!L14,'Pop Cibles'!P14)+MAX('Pop Cibles'!F14,'Pop Cibles'!H14,'Pop Cibles'!J14,'Pop Cibles'!M14,'Pop Cibles'!Q14)</f>
        <v>198720.96</v>
      </c>
      <c r="S14" s="22">
        <f>IF(SUM('Plan annuel Différentes Maladie'!K:K)&gt;0,0,'Plan annuel Différentes Maladie'!U14*Population!T14)</f>
        <v>0</v>
      </c>
      <c r="T14" s="22">
        <f>'Plan annuel Différentes Maladie'!U14*Population!U14</f>
        <v>53147.506749999993</v>
      </c>
      <c r="U14" s="22">
        <f>'Plan annuel Différentes Maladie'!U14*Population!L14*'Page d''accueil'!$F$16</f>
        <v>116924.51484999998</v>
      </c>
      <c r="V14" s="22">
        <f>'Plan annuel Différentes Maladie'!AB14*Population!N14*'Page d''accueil'!$F$15</f>
        <v>42518.005400000002</v>
      </c>
      <c r="W14" s="22">
        <f>'Plan annuel Différentes Maladie'!AB14*Population!N14*'Page d''accueil'!$F$16</f>
        <v>93539.611879999997</v>
      </c>
      <c r="X14" s="22">
        <f>'Plan annuel Différentes Maladie'!AI14*Population!U14</f>
        <v>0</v>
      </c>
      <c r="Y14" s="22">
        <f>'Plan annuel Différentes Maladie'!AI14*Population!R14</f>
        <v>0</v>
      </c>
      <c r="Z14" s="22">
        <f>'Plan annuel Différentes Maladie'!AP14*Population!T14</f>
        <v>0</v>
      </c>
      <c r="AA14" s="22">
        <f>'Plan annuel Différentes Maladie'!AP14*Population!U14</f>
        <v>0</v>
      </c>
      <c r="AB14" s="22">
        <f>'Plan annuel Différentes Maladie'!AP14*Population!S14</f>
        <v>0</v>
      </c>
      <c r="AC14" s="22">
        <f>'Plan annuel Différentes Maladie'!AW14*Population!Q14*'Page d''accueil'!$J$14</f>
        <v>3401.4404320000003</v>
      </c>
      <c r="AD14" s="22">
        <f>'Plan annuel Différentes Maladie'!AW14*Population!Q14*'Page d''accueil'!$J$15</f>
        <v>30612.963887999998</v>
      </c>
      <c r="AE14" s="22">
        <f>'Plan annuel Différentes Maladie'!AW14*Population!Q14*'Page d''accueil'!$F$15</f>
        <v>42518.005400000002</v>
      </c>
      <c r="AF14" s="22">
        <f>'Plan annuel Différentes Maladie'!AW14*Population!Q14*'Page d''accueil'!$F$16</f>
        <v>93539.611879999997</v>
      </c>
      <c r="AG14" s="22">
        <f>MAX('Pop Cibles'!S14,'Pop Cibles'!Z14,('Pop Cibles'!AC14+'Pop Cibles'!AD14))+MAX('Pop Cibles'!T14,'Pop Cibles'!V14,'Pop Cibles'!X14,'Pop Cibles'!AA14,'Pop Cibles'!AE14)+MAX('Pop Cibles'!U14,'Pop Cibles'!W14,'Pop Cibles'!Y14,'Pop Cibles'!AB14,'Pop Cibles'!AF14)</f>
        <v>204086.42591999998</v>
      </c>
      <c r="AH14" s="22">
        <f>IF(SUM('Plan annuel Différentes Maladie'!K:K)&gt;0,0,'Plan annuel Différentes Maladie'!V14*Population!AD14)</f>
        <v>0</v>
      </c>
      <c r="AI14" s="22">
        <f>'Plan annuel Différentes Maladie'!V14*Population!AE14</f>
        <v>54582.489432249989</v>
      </c>
      <c r="AJ14" s="22">
        <f>'Plan annuel Différentes Maladie'!V14*Population!V14*'Page d''accueil'!$F$16</f>
        <v>120081.47675094997</v>
      </c>
      <c r="AK14" s="22">
        <f>'Plan annuel Différentes Maladie'!AC14*Population!X14*'Page d''accueil'!$F$15</f>
        <v>43665.991545799996</v>
      </c>
      <c r="AL14" s="22">
        <f>'Plan annuel Différentes Maladie'!AC14*Population!X14*'Page d''accueil'!$F$16</f>
        <v>96065.181400759975</v>
      </c>
      <c r="AM14" s="22">
        <f>'Plan annuel Différentes Maladie'!AJ14*Population!AE14</f>
        <v>54582.489432249989</v>
      </c>
      <c r="AN14" s="22">
        <f>'Plan annuel Différentes Maladie'!AJ14*Population!AB14</f>
        <v>218329.95772899996</v>
      </c>
      <c r="AO14" s="22">
        <f>'Plan annuel Différentes Maladie'!AQ14*Population!AD14</f>
        <v>0</v>
      </c>
      <c r="AP14" s="22">
        <f>'Plan annuel Différentes Maladie'!AQ14*Population!AE14</f>
        <v>0</v>
      </c>
      <c r="AQ14" s="22">
        <f>'Plan annuel Différentes Maladie'!AQ14*Population!AC14</f>
        <v>0</v>
      </c>
      <c r="AR14" s="22">
        <f>'Plan annuel Différentes Maladie'!AX14*Population!Y14*'Page d''accueil'!$J$14</f>
        <v>3493.2793236639995</v>
      </c>
      <c r="AS14" s="22">
        <f>'Plan annuel Différentes Maladie'!AX14*Population!Y14*'Page d''accueil'!$J$15</f>
        <v>31439.513912975995</v>
      </c>
      <c r="AT14" s="22">
        <f>'Plan annuel Différentes Maladie'!AX14*Population!Y14*'Page d''accueil'!$F$15</f>
        <v>43665.991545799996</v>
      </c>
      <c r="AU14" s="22">
        <f>'Plan annuel Différentes Maladie'!AX14*Population!Y14*'Page d''accueil'!$F$16</f>
        <v>96065.181400759975</v>
      </c>
      <c r="AV14" s="22">
        <f>MAX('Pop Cibles'!AH14,'Pop Cibles'!AO14,('Pop Cibles'!AR14+'Pop Cibles'!AS14))+MAX('Pop Cibles'!AI14,'Pop Cibles'!AK14,'Pop Cibles'!AM14,'Pop Cibles'!AP14,'Pop Cibles'!AT14)+MAX('Pop Cibles'!AJ14,'Pop Cibles'!AL14,'Pop Cibles'!AN14,'Pop Cibles'!AQ14,'Pop Cibles'!AU14)</f>
        <v>307845.24039788998</v>
      </c>
      <c r="AW14" s="22">
        <f>IF(SUM('Plan annuel Différentes Maladie'!K:K)&gt;0,0,'Plan annuel Différentes Maladie'!W14*Population!AN14)</f>
        <v>0</v>
      </c>
      <c r="AX14" s="22">
        <f>'Plan annuel Différentes Maladie'!W14*Population!AO14</f>
        <v>56056.216646920737</v>
      </c>
      <c r="AY14" s="22">
        <f>'Plan annuel Différentes Maladie'!W14*Population!AF14*'Page d''accueil'!$F$16</f>
        <v>123323.6766232256</v>
      </c>
      <c r="AZ14" s="22">
        <f>'Plan annuel Différentes Maladie'!AD14*Population!AH14*'Page d''accueil'!$F$15</f>
        <v>44844.973317536591</v>
      </c>
      <c r="BA14" s="22">
        <f>'Plan annuel Différentes Maladie'!AD14*Population!AH14*'Page d''accueil'!$F$16</f>
        <v>98658.941298580481</v>
      </c>
      <c r="BB14" s="22">
        <f>'Plan annuel Différentes Maladie'!AK14*Population!AO14</f>
        <v>0</v>
      </c>
      <c r="BC14" s="22">
        <f>'Plan annuel Différentes Maladie'!AK14*Population!AL14</f>
        <v>0</v>
      </c>
      <c r="BD14" s="22">
        <f>'Plan annuel Différentes Maladie'!AR14*Population!AN14</f>
        <v>0</v>
      </c>
      <c r="BE14" s="22">
        <f>'Plan annuel Différentes Maladie'!AR14*Population!AO14</f>
        <v>0</v>
      </c>
      <c r="BF14" s="22">
        <f>'Plan annuel Différentes Maladie'!AR14*Population!AM14</f>
        <v>0</v>
      </c>
      <c r="BG14" s="22">
        <f>'Plan annuel Différentes Maladie'!AY14*Population!AI14*'Page d''accueil'!$J$14</f>
        <v>3587.5978654029273</v>
      </c>
      <c r="BH14" s="22">
        <f>'Plan annuel Différentes Maladie'!AY14*Population!AI14*'Page d''accueil'!$J$15</f>
        <v>32288.380788626346</v>
      </c>
      <c r="BI14" s="22">
        <f>'Plan annuel Différentes Maladie'!AY14*Population!AI14*'Page d''accueil'!$F$15</f>
        <v>44844.973317536591</v>
      </c>
      <c r="BJ14" s="22">
        <f>'Plan annuel Différentes Maladie'!AY14*Population!AI14*'Page d''accueil'!$F$16</f>
        <v>98658.941298580481</v>
      </c>
      <c r="BK14" s="22">
        <f>MAX('Pop Cibles'!AW14,'Pop Cibles'!BD14,('Pop Cibles'!BG14+'Pop Cibles'!BH14))+MAX('Pop Cibles'!AX14,'Pop Cibles'!AZ14,'Pop Cibles'!BB14,'Pop Cibles'!BE14,'Pop Cibles'!BI14)+MAX('Pop Cibles'!AY14,'Pop Cibles'!BA14,'Pop Cibles'!BC14,'Pop Cibles'!BF14,'Pop Cibles'!BJ14)</f>
        <v>215255.87192417559</v>
      </c>
      <c r="BL14" s="22">
        <f>IF(SUM('Plan annuel Différentes Maladie'!K:K)&gt;0,0,'Plan annuel Différentes Maladie'!X14*Population!AX14)</f>
        <v>0</v>
      </c>
      <c r="BM14" s="22">
        <f>'Plan annuel Différentes Maladie'!X14*Population!AY14</f>
        <v>57569.734496387595</v>
      </c>
      <c r="BN14" s="22">
        <f>'Plan annuel Différentes Maladie'!X14*Population!AP14*'Page d''accueil'!$F$16</f>
        <v>126653.4158920527</v>
      </c>
      <c r="BO14" s="22">
        <f>'Plan annuel Différentes Maladie'!AE14*Population!AR14*'Page d''accueil'!$F$15</f>
        <v>46055.787597110073</v>
      </c>
      <c r="BP14" s="22">
        <f>'Plan annuel Différentes Maladie'!AE14*Population!AR14*'Page d''accueil'!$F$16</f>
        <v>101322.73271364215</v>
      </c>
      <c r="BQ14" s="22">
        <f>'Plan annuel Différentes Maladie'!AL14*Population!AY14</f>
        <v>0</v>
      </c>
      <c r="BR14" s="22">
        <f>'Plan annuel Différentes Maladie'!AL14*Population!AV14</f>
        <v>0</v>
      </c>
      <c r="BS14" s="22">
        <f>'Plan annuel Différentes Maladie'!AS14*Population!AX14</f>
        <v>0</v>
      </c>
      <c r="BT14" s="22">
        <f>'Plan annuel Différentes Maladie'!AS14*Population!AY14</f>
        <v>0</v>
      </c>
      <c r="BU14" s="22">
        <f>'Plan annuel Différentes Maladie'!AS14*Population!AW14</f>
        <v>0</v>
      </c>
      <c r="BV14" s="22">
        <f>'Plan annuel Différentes Maladie'!AZ14*Population!AS14*'Page d''accueil'!$J$14</f>
        <v>3684.4630077688057</v>
      </c>
      <c r="BW14" s="22">
        <f>'Plan annuel Différentes Maladie'!AZ14*Population!AS14*'Page d''accueil'!$J$15</f>
        <v>33160.167069919255</v>
      </c>
      <c r="BX14" s="22">
        <f>'Plan annuel Différentes Maladie'!AZ14*Population!AS14*'Page d''accueil'!$F$15</f>
        <v>46055.787597110073</v>
      </c>
      <c r="BY14" s="22">
        <f>'Plan annuel Différentes Maladie'!AZ14*Population!AS14*'Page d''accueil'!$F$16</f>
        <v>101322.73271364215</v>
      </c>
      <c r="BZ14" s="22">
        <f>MAX('Pop Cibles'!BL14,'Pop Cibles'!BS14,('Pop Cibles'!BV14+'Pop Cibles'!BW14))+MAX('Pop Cibles'!BM14,'Pop Cibles'!BO14,'Pop Cibles'!BQ14,'Pop Cibles'!BT14,'Pop Cibles'!BX14)+MAX('Pop Cibles'!BN14,'Pop Cibles'!BP14,'Pop Cibles'!BR14,'Pop Cibles'!BU14,'Pop Cibles'!BY14)</f>
        <v>221067.78046612834</v>
      </c>
    </row>
    <row r="15" spans="1:78" s="5" customFormat="1" ht="12" customHeight="1">
      <c r="A15" s="19">
        <v>12</v>
      </c>
      <c r="B15" s="21" t="str">
        <f>'Plan annuel Différentes Maladie'!B15</f>
        <v>FARANAH</v>
      </c>
      <c r="C15" s="21" t="str">
        <f>Population!C15</f>
        <v>Dinguiraye</v>
      </c>
      <c r="D15" s="22">
        <f>IF(SUM('Plan annuel Différentes Maladie'!K:K)&gt;0,0,'Plan annuel Différentes Maladie'!T15*Population!J15)</f>
        <v>0</v>
      </c>
      <c r="E15" s="22">
        <f>'Plan annuel Différentes Maladie'!T15*Population!K15</f>
        <v>54970</v>
      </c>
      <c r="F15" s="22">
        <f>'Plan annuel Différentes Maladie'!T15*Population!D15*'Page d''accueil'!$F$16</f>
        <v>120933.99999999999</v>
      </c>
      <c r="G15" s="22">
        <f>'Plan annuel Différentes Maladie'!AA15*Population!F15*'Page d''accueil'!$F$15</f>
        <v>43976</v>
      </c>
      <c r="H15" s="22">
        <f>'Plan annuel Différentes Maladie'!AA15*Population!F15*'Page d''accueil'!$F$16</f>
        <v>96747.199999999983</v>
      </c>
      <c r="I15" s="22">
        <f>'Plan annuel Différentes Maladie'!AH15*Population!K15</f>
        <v>54970</v>
      </c>
      <c r="J15" s="22">
        <f>'Plan annuel Différentes Maladie'!AH15*Population!H15</f>
        <v>219880</v>
      </c>
      <c r="K15" s="22">
        <f>'Plan annuel Différentes Maladie'!AO15*Population!J15</f>
        <v>0</v>
      </c>
      <c r="L15" s="22">
        <f>'Plan annuel Différentes Maladie'!AO15*Population!K15</f>
        <v>0</v>
      </c>
      <c r="M15" s="22">
        <f>'Plan annuel Différentes Maladie'!AO15*Population!I15</f>
        <v>0</v>
      </c>
      <c r="N15" s="22">
        <f>'Plan annuel Différentes Maladie'!AV15*Population!G15*'Page d''accueil'!$J$14</f>
        <v>3518.08</v>
      </c>
      <c r="O15" s="22">
        <f>'Plan annuel Différentes Maladie'!AV15*Population!G15*'Page d''accueil'!$J$15</f>
        <v>31662.719999999998</v>
      </c>
      <c r="P15" s="22">
        <f>'Plan annuel Différentes Maladie'!AV15*Population!G15*'Page d''accueil'!$F$15</f>
        <v>43976</v>
      </c>
      <c r="Q15" s="22">
        <f>'Plan annuel Différentes Maladie'!AV15*Population!G15*'Page d''accueil'!$F$16</f>
        <v>96747.199999999983</v>
      </c>
      <c r="R15" s="22">
        <f>MAX('Pop Cibles'!D15,'Pop Cibles'!K15,('Pop Cibles'!N15+'Pop Cibles'!O15))+MAX('Pop Cibles'!E15,'Pop Cibles'!G15,'Pop Cibles'!I15,'Pop Cibles'!L15,'Pop Cibles'!P15)+MAX('Pop Cibles'!F15,'Pop Cibles'!H15,'Pop Cibles'!J15,'Pop Cibles'!M15,'Pop Cibles'!Q15)</f>
        <v>310030.8</v>
      </c>
      <c r="S15" s="22">
        <f>IF(SUM('Plan annuel Différentes Maladie'!K:K)&gt;0,0,'Plan annuel Différentes Maladie'!U15*Population!T15)</f>
        <v>0</v>
      </c>
      <c r="T15" s="22">
        <f>'Plan annuel Différentes Maladie'!U15*Population!U15</f>
        <v>56454.189999999995</v>
      </c>
      <c r="U15" s="22">
        <f>'Plan annuel Différentes Maladie'!U15*Population!L15*'Page d''accueil'!$F$16</f>
        <v>124199.21799999998</v>
      </c>
      <c r="V15" s="22">
        <f>'Plan annuel Différentes Maladie'!AB15*Population!N15*'Page d''accueil'!$F$15</f>
        <v>45163.351999999999</v>
      </c>
      <c r="W15" s="22">
        <f>'Plan annuel Différentes Maladie'!AB15*Population!N15*'Page d''accueil'!$F$16</f>
        <v>99359.374399999986</v>
      </c>
      <c r="X15" s="22">
        <f>'Plan annuel Différentes Maladie'!AI15*Population!U15</f>
        <v>56454.189999999995</v>
      </c>
      <c r="Y15" s="22">
        <f>'Plan annuel Différentes Maladie'!AI15*Population!R15</f>
        <v>225816.75999999998</v>
      </c>
      <c r="Z15" s="22">
        <f>'Plan annuel Différentes Maladie'!AP15*Population!T15</f>
        <v>0</v>
      </c>
      <c r="AA15" s="22">
        <f>'Plan annuel Différentes Maladie'!AP15*Population!U15</f>
        <v>0</v>
      </c>
      <c r="AB15" s="22">
        <f>'Plan annuel Différentes Maladie'!AP15*Population!S15</f>
        <v>0</v>
      </c>
      <c r="AC15" s="22">
        <f>'Plan annuel Différentes Maladie'!AW15*Population!Q15*'Page d''accueil'!$J$14</f>
        <v>3613.0681599999998</v>
      </c>
      <c r="AD15" s="22">
        <f>'Plan annuel Différentes Maladie'!AW15*Population!Q15*'Page d''accueil'!$J$15</f>
        <v>32517.613439999997</v>
      </c>
      <c r="AE15" s="22">
        <f>'Plan annuel Différentes Maladie'!AW15*Population!Q15*'Page d''accueil'!$F$15</f>
        <v>45163.351999999999</v>
      </c>
      <c r="AF15" s="22">
        <f>'Plan annuel Différentes Maladie'!AW15*Population!Q15*'Page d''accueil'!$F$16</f>
        <v>99359.374399999986</v>
      </c>
      <c r="AG15" s="22">
        <f>MAX('Pop Cibles'!S15,'Pop Cibles'!Z15,('Pop Cibles'!AC15+'Pop Cibles'!AD15))+MAX('Pop Cibles'!T15,'Pop Cibles'!V15,'Pop Cibles'!X15,'Pop Cibles'!AA15,'Pop Cibles'!AE15)+MAX('Pop Cibles'!U15,'Pop Cibles'!W15,'Pop Cibles'!Y15,'Pop Cibles'!AB15,'Pop Cibles'!AF15)</f>
        <v>318401.63159999996</v>
      </c>
      <c r="AH15" s="22">
        <f>IF(SUM('Plan annuel Différentes Maladie'!K:K)&gt;0,0,'Plan annuel Différentes Maladie'!V15*Population!AD15)</f>
        <v>0</v>
      </c>
      <c r="AI15" s="22">
        <f>'Plan annuel Différentes Maladie'!V15*Population!AE15</f>
        <v>57978.453129999987</v>
      </c>
      <c r="AJ15" s="22">
        <f>'Plan annuel Différentes Maladie'!V15*Population!V15*'Page d''accueil'!$F$16</f>
        <v>127552.59688599996</v>
      </c>
      <c r="AK15" s="22">
        <f>'Plan annuel Différentes Maladie'!AC15*Population!X15*'Page d''accueil'!$F$15</f>
        <v>46382.762503999998</v>
      </c>
      <c r="AL15" s="22">
        <f>'Plan annuel Différentes Maladie'!AC15*Population!X15*'Page d''accueil'!$F$16</f>
        <v>102042.07750879998</v>
      </c>
      <c r="AM15" s="22">
        <f>'Plan annuel Différentes Maladie'!AJ15*Population!AE15</f>
        <v>57978.453129999987</v>
      </c>
      <c r="AN15" s="22">
        <f>'Plan annuel Différentes Maladie'!AJ15*Population!AB15</f>
        <v>231913.81251999995</v>
      </c>
      <c r="AO15" s="22">
        <f>'Plan annuel Différentes Maladie'!AQ15*Population!AD15</f>
        <v>0</v>
      </c>
      <c r="AP15" s="22">
        <f>'Plan annuel Différentes Maladie'!AQ15*Population!AE15</f>
        <v>0</v>
      </c>
      <c r="AQ15" s="22">
        <f>'Plan annuel Différentes Maladie'!AQ15*Population!AC15</f>
        <v>0</v>
      </c>
      <c r="AR15" s="22">
        <f>'Plan annuel Différentes Maladie'!AX15*Population!Y15*'Page d''accueil'!$J$14</f>
        <v>3710.6210003199999</v>
      </c>
      <c r="AS15" s="22">
        <f>'Plan annuel Différentes Maladie'!AX15*Population!Y15*'Page d''accueil'!$J$15</f>
        <v>33395.589002879999</v>
      </c>
      <c r="AT15" s="22">
        <f>'Plan annuel Différentes Maladie'!AX15*Population!Y15*'Page d''accueil'!$F$15</f>
        <v>46382.762503999998</v>
      </c>
      <c r="AU15" s="22">
        <f>'Plan annuel Différentes Maladie'!AX15*Population!Y15*'Page d''accueil'!$F$16</f>
        <v>102042.07750879998</v>
      </c>
      <c r="AV15" s="22">
        <f>MAX('Pop Cibles'!AH15,'Pop Cibles'!AO15,('Pop Cibles'!AR15+'Pop Cibles'!AS15))+MAX('Pop Cibles'!AI15,'Pop Cibles'!AK15,'Pop Cibles'!AM15,'Pop Cibles'!AP15,'Pop Cibles'!AT15)+MAX('Pop Cibles'!AJ15,'Pop Cibles'!AL15,'Pop Cibles'!AN15,'Pop Cibles'!AQ15,'Pop Cibles'!AU15)</f>
        <v>326998.47565319994</v>
      </c>
      <c r="AW15" s="22">
        <f>IF(SUM('Plan annuel Différentes Maladie'!K:K)&gt;0,0,'Plan annuel Différentes Maladie'!W15*Population!AN15)</f>
        <v>0</v>
      </c>
      <c r="AX15" s="22">
        <f>'Plan annuel Différentes Maladie'!W15*Population!AO15</f>
        <v>59543.871364509985</v>
      </c>
      <c r="AY15" s="22">
        <f>'Plan annuel Différentes Maladie'!W15*Population!AF15*'Page d''accueil'!$F$16</f>
        <v>130996.51700192195</v>
      </c>
      <c r="AZ15" s="22">
        <f>'Plan annuel Différentes Maladie'!AD15*Population!AH15*'Page d''accueil'!$F$15</f>
        <v>47635.097091607997</v>
      </c>
      <c r="BA15" s="22">
        <f>'Plan annuel Différentes Maladie'!AD15*Population!AH15*'Page d''accueil'!$F$16</f>
        <v>104797.21360153759</v>
      </c>
      <c r="BB15" s="22">
        <f>'Plan annuel Différentes Maladie'!AK15*Population!AO15</f>
        <v>59543.871364509985</v>
      </c>
      <c r="BC15" s="22">
        <f>'Plan annuel Différentes Maladie'!AK15*Population!AL15</f>
        <v>238175.48545803994</v>
      </c>
      <c r="BD15" s="22">
        <f>'Plan annuel Différentes Maladie'!AR15*Population!AN15</f>
        <v>0</v>
      </c>
      <c r="BE15" s="22">
        <f>'Plan annuel Différentes Maladie'!AR15*Population!AO15</f>
        <v>0</v>
      </c>
      <c r="BF15" s="22">
        <f>'Plan annuel Différentes Maladie'!AR15*Population!AM15</f>
        <v>0</v>
      </c>
      <c r="BG15" s="22">
        <f>'Plan annuel Différentes Maladie'!AY15*Population!AI15*'Page d''accueil'!$J$14</f>
        <v>3810.8077673286398</v>
      </c>
      <c r="BH15" s="22">
        <f>'Plan annuel Différentes Maladie'!AY15*Population!AI15*'Page d''accueil'!$J$15</f>
        <v>34297.269905957757</v>
      </c>
      <c r="BI15" s="22">
        <f>'Plan annuel Différentes Maladie'!AY15*Population!AI15*'Page d''accueil'!$F$15</f>
        <v>47635.097091607997</v>
      </c>
      <c r="BJ15" s="22">
        <f>'Plan annuel Différentes Maladie'!AY15*Population!AI15*'Page d''accueil'!$F$16</f>
        <v>104797.21360153759</v>
      </c>
      <c r="BK15" s="22">
        <f>MAX('Pop Cibles'!AW15,'Pop Cibles'!BD15,('Pop Cibles'!BG15+'Pop Cibles'!BH15))+MAX('Pop Cibles'!AX15,'Pop Cibles'!AZ15,'Pop Cibles'!BB15,'Pop Cibles'!BE15,'Pop Cibles'!BI15)+MAX('Pop Cibles'!AY15,'Pop Cibles'!BA15,'Pop Cibles'!BC15,'Pop Cibles'!BF15,'Pop Cibles'!BJ15)</f>
        <v>335827.43449583632</v>
      </c>
      <c r="BL15" s="22">
        <f>IF(SUM('Plan annuel Différentes Maladie'!K:K)&gt;0,0,'Plan annuel Différentes Maladie'!X15*Population!AX15)</f>
        <v>0</v>
      </c>
      <c r="BM15" s="22">
        <f>'Plan annuel Différentes Maladie'!X15*Population!AY15</f>
        <v>61151.555891351753</v>
      </c>
      <c r="BN15" s="22">
        <f>'Plan annuel Différentes Maladie'!X15*Population!AP15*'Page d''accueil'!$F$16</f>
        <v>134533.42296097384</v>
      </c>
      <c r="BO15" s="22">
        <f>'Plan annuel Différentes Maladie'!AE15*Population!AR15*'Page d''accueil'!$F$15</f>
        <v>48921.244713081411</v>
      </c>
      <c r="BP15" s="22">
        <f>'Plan annuel Différentes Maladie'!AE15*Population!AR15*'Page d''accueil'!$F$16</f>
        <v>107626.73836877909</v>
      </c>
      <c r="BQ15" s="22">
        <f>'Plan annuel Différentes Maladie'!AL15*Population!AY15</f>
        <v>61151.555891351753</v>
      </c>
      <c r="BR15" s="22">
        <f>'Plan annuel Différentes Maladie'!AL15*Population!AV15</f>
        <v>244606.22356540701</v>
      </c>
      <c r="BS15" s="22">
        <f>'Plan annuel Différentes Maladie'!AS15*Population!AX15</f>
        <v>0</v>
      </c>
      <c r="BT15" s="22">
        <f>'Plan annuel Différentes Maladie'!AS15*Population!AY15</f>
        <v>0</v>
      </c>
      <c r="BU15" s="22">
        <f>'Plan annuel Différentes Maladie'!AS15*Population!AW15</f>
        <v>0</v>
      </c>
      <c r="BV15" s="22">
        <f>'Plan annuel Différentes Maladie'!AZ15*Population!AS15*'Page d''accueil'!$J$14</f>
        <v>3913.6995770465128</v>
      </c>
      <c r="BW15" s="22">
        <f>'Plan annuel Différentes Maladie'!AZ15*Population!AS15*'Page d''accueil'!$J$15</f>
        <v>35223.296193418617</v>
      </c>
      <c r="BX15" s="22">
        <f>'Plan annuel Différentes Maladie'!AZ15*Population!AS15*'Page d''accueil'!$F$15</f>
        <v>48921.244713081411</v>
      </c>
      <c r="BY15" s="22">
        <f>'Plan annuel Différentes Maladie'!AZ15*Population!AS15*'Page d''accueil'!$F$16</f>
        <v>107626.73836877909</v>
      </c>
      <c r="BZ15" s="22">
        <f>MAX('Pop Cibles'!BL15,'Pop Cibles'!BS15,('Pop Cibles'!BV15+'Pop Cibles'!BW15))+MAX('Pop Cibles'!BM15,'Pop Cibles'!BO15,'Pop Cibles'!BQ15,'Pop Cibles'!BT15,'Pop Cibles'!BX15)+MAX('Pop Cibles'!BN15,'Pop Cibles'!BP15,'Pop Cibles'!BR15,'Pop Cibles'!BU15,'Pop Cibles'!BY15)</f>
        <v>344894.77522722387</v>
      </c>
    </row>
    <row r="16" spans="1:78" s="5" customFormat="1" ht="12" customHeight="1">
      <c r="A16" s="19">
        <v>13</v>
      </c>
      <c r="B16" s="21" t="str">
        <f>'Plan annuel Différentes Maladie'!B16</f>
        <v>FARANAH</v>
      </c>
      <c r="C16" s="21" t="str">
        <f>Population!C16</f>
        <v>Faranah</v>
      </c>
      <c r="D16" s="22">
        <f>IF(SUM('Plan annuel Différentes Maladie'!K:K)&gt;0,0,'Plan annuel Différentes Maladie'!T16*Population!J16)</f>
        <v>0</v>
      </c>
      <c r="E16" s="22">
        <f>'Plan annuel Différentes Maladie'!T16*Population!K16</f>
        <v>75172.5</v>
      </c>
      <c r="F16" s="22">
        <f>'Plan annuel Différentes Maladie'!T16*Population!D16*'Page d''accueil'!$F$16</f>
        <v>165379.49999999997</v>
      </c>
      <c r="G16" s="22">
        <f>'Plan annuel Différentes Maladie'!AA16*Population!F16*'Page d''accueil'!$F$15</f>
        <v>60138</v>
      </c>
      <c r="H16" s="22">
        <f>'Plan annuel Différentes Maladie'!AA16*Population!F16*'Page d''accueil'!$F$16</f>
        <v>132303.59999999998</v>
      </c>
      <c r="I16" s="22">
        <f>'Plan annuel Différentes Maladie'!AH16*Population!K16</f>
        <v>75172.5</v>
      </c>
      <c r="J16" s="22">
        <f>'Plan annuel Différentes Maladie'!AH16*Population!H16</f>
        <v>300690</v>
      </c>
      <c r="K16" s="22">
        <f>'Plan annuel Différentes Maladie'!AO16*Population!J16</f>
        <v>123282.9</v>
      </c>
      <c r="L16" s="22">
        <f>'Plan annuel Différentes Maladie'!AO16*Population!K16</f>
        <v>75172.5</v>
      </c>
      <c r="M16" s="22">
        <f>'Plan annuel Différentes Maladie'!AO16*Population!I16</f>
        <v>240552</v>
      </c>
      <c r="N16" s="22">
        <f>'Plan annuel Différentes Maladie'!AV16*Population!G16*'Page d''accueil'!$J$14</f>
        <v>4811.04</v>
      </c>
      <c r="O16" s="22">
        <f>'Plan annuel Différentes Maladie'!AV16*Population!G16*'Page d''accueil'!$J$15</f>
        <v>43299.360000000001</v>
      </c>
      <c r="P16" s="22">
        <f>'Plan annuel Différentes Maladie'!AV16*Population!G16*'Page d''accueil'!$F$15</f>
        <v>60138</v>
      </c>
      <c r="Q16" s="22">
        <f>'Plan annuel Différentes Maladie'!AV16*Population!G16*'Page d''accueil'!$F$16</f>
        <v>132303.59999999998</v>
      </c>
      <c r="R16" s="22">
        <f>MAX('Pop Cibles'!D16,'Pop Cibles'!K16,('Pop Cibles'!N16+'Pop Cibles'!O16))+MAX('Pop Cibles'!E16,'Pop Cibles'!G16,'Pop Cibles'!I16,'Pop Cibles'!L16,'Pop Cibles'!P16)+MAX('Pop Cibles'!F16,'Pop Cibles'!H16,'Pop Cibles'!J16,'Pop Cibles'!M16,'Pop Cibles'!Q16)</f>
        <v>499145.4</v>
      </c>
      <c r="S16" s="22">
        <f>IF(SUM('Plan annuel Différentes Maladie'!K:K)&gt;0,0,'Plan annuel Différentes Maladie'!U16*Population!T16)</f>
        <v>0</v>
      </c>
      <c r="T16" s="22">
        <f>'Plan annuel Différentes Maladie'!U16*Population!U16</f>
        <v>77202.157499999987</v>
      </c>
      <c r="U16" s="22">
        <f>'Plan annuel Différentes Maladie'!U16*Population!L16*'Page d''accueil'!$F$16</f>
        <v>169844.74649999995</v>
      </c>
      <c r="V16" s="22">
        <f>'Plan annuel Différentes Maladie'!AB16*Population!N16*'Page d''accueil'!$F$15</f>
        <v>61761.725999999995</v>
      </c>
      <c r="W16" s="22">
        <f>'Plan annuel Différentes Maladie'!AB16*Population!N16*'Page d''accueil'!$F$16</f>
        <v>135875.79719999997</v>
      </c>
      <c r="X16" s="22">
        <f>'Plan annuel Différentes Maladie'!AI16*Population!U16</f>
        <v>77202.157499999987</v>
      </c>
      <c r="Y16" s="22">
        <f>'Plan annuel Différentes Maladie'!AI16*Population!R16</f>
        <v>308808.62999999995</v>
      </c>
      <c r="Z16" s="22">
        <f>'Plan annuel Différentes Maladie'!AP16*Population!T16</f>
        <v>49409.380799999992</v>
      </c>
      <c r="AA16" s="22">
        <f>'Plan annuel Différentes Maladie'!AP16*Population!U16</f>
        <v>77202.157499999987</v>
      </c>
      <c r="AB16" s="22">
        <f>'Plan annuel Différentes Maladie'!AP16*Population!S16</f>
        <v>247046.90399999998</v>
      </c>
      <c r="AC16" s="22">
        <f>'Plan annuel Différentes Maladie'!AW16*Population!Q16*'Page d''accueil'!$J$14</f>
        <v>4940.9380799999999</v>
      </c>
      <c r="AD16" s="22">
        <f>'Plan annuel Différentes Maladie'!AW16*Population!Q16*'Page d''accueil'!$J$15</f>
        <v>44468.442719999992</v>
      </c>
      <c r="AE16" s="22">
        <f>'Plan annuel Différentes Maladie'!AW16*Population!Q16*'Page d''accueil'!$F$15</f>
        <v>61761.725999999995</v>
      </c>
      <c r="AF16" s="22">
        <f>'Plan annuel Différentes Maladie'!AW16*Population!Q16*'Page d''accueil'!$F$16</f>
        <v>135875.79719999997</v>
      </c>
      <c r="AG16" s="22">
        <f>MAX('Pop Cibles'!S16,'Pop Cibles'!Z16,('Pop Cibles'!AC16+'Pop Cibles'!AD16))+MAX('Pop Cibles'!T16,'Pop Cibles'!V16,'Pop Cibles'!X16,'Pop Cibles'!AA16,'Pop Cibles'!AE16)+MAX('Pop Cibles'!U16,'Pop Cibles'!W16,'Pop Cibles'!Y16,'Pop Cibles'!AB16,'Pop Cibles'!AF16)</f>
        <v>435420.1682999999</v>
      </c>
      <c r="AH16" s="22">
        <f>IF(SUM('Plan annuel Différentes Maladie'!K:K)&gt;0,0,'Plan annuel Différentes Maladie'!V16*Population!AD16)</f>
        <v>0</v>
      </c>
      <c r="AI16" s="22">
        <f>'Plan annuel Différentes Maladie'!V16*Population!AE16</f>
        <v>79286.615752499973</v>
      </c>
      <c r="AJ16" s="22">
        <f>'Plan annuel Différentes Maladie'!V16*Population!V16*'Page d''accueil'!$F$16</f>
        <v>174430.55465549993</v>
      </c>
      <c r="AK16" s="22">
        <f>'Plan annuel Différentes Maladie'!AC16*Population!X16*'Page d''accueil'!$F$15</f>
        <v>63429.292601999987</v>
      </c>
      <c r="AL16" s="22">
        <f>'Plan annuel Différentes Maladie'!AC16*Population!X16*'Page d''accueil'!$F$16</f>
        <v>139544.44372439996</v>
      </c>
      <c r="AM16" s="22">
        <f>'Plan annuel Différentes Maladie'!AJ16*Population!AE16</f>
        <v>79286.615752499973</v>
      </c>
      <c r="AN16" s="22">
        <f>'Plan annuel Différentes Maladie'!AJ16*Population!AB16</f>
        <v>317146.46300999989</v>
      </c>
      <c r="AO16" s="22">
        <f>'Plan annuel Différentes Maladie'!AQ16*Population!AD16</f>
        <v>50743.434081599982</v>
      </c>
      <c r="AP16" s="22">
        <f>'Plan annuel Différentes Maladie'!AQ16*Population!AE16</f>
        <v>79286.615752499973</v>
      </c>
      <c r="AQ16" s="22">
        <f>'Plan annuel Différentes Maladie'!AQ16*Population!AC16</f>
        <v>253717.17040799995</v>
      </c>
      <c r="AR16" s="22">
        <f>'Plan annuel Différentes Maladie'!AX16*Population!Y16*'Page d''accueil'!$J$14</f>
        <v>5074.3434081599989</v>
      </c>
      <c r="AS16" s="22">
        <f>'Plan annuel Différentes Maladie'!AX16*Population!Y16*'Page d''accueil'!$J$15</f>
        <v>45669.09067343999</v>
      </c>
      <c r="AT16" s="22">
        <f>'Plan annuel Différentes Maladie'!AX16*Population!Y16*'Page d''accueil'!$F$15</f>
        <v>63429.292601999987</v>
      </c>
      <c r="AU16" s="22">
        <f>'Plan annuel Différentes Maladie'!AX16*Population!Y16*'Page d''accueil'!$F$16</f>
        <v>139544.44372439996</v>
      </c>
      <c r="AV16" s="22">
        <f>MAX('Pop Cibles'!AH16,'Pop Cibles'!AO16,('Pop Cibles'!AR16+'Pop Cibles'!AS16))+MAX('Pop Cibles'!AI16,'Pop Cibles'!AK16,'Pop Cibles'!AM16,'Pop Cibles'!AP16,'Pop Cibles'!AT16)+MAX('Pop Cibles'!AJ16,'Pop Cibles'!AL16,'Pop Cibles'!AN16,'Pop Cibles'!AQ16,'Pop Cibles'!AU16)</f>
        <v>447176.51284409984</v>
      </c>
      <c r="AW16" s="22">
        <f>IF(SUM('Plan annuel Différentes Maladie'!K:K)&gt;0,0,'Plan annuel Différentes Maladie'!W16*Population!AN16)</f>
        <v>0</v>
      </c>
      <c r="AX16" s="22">
        <f>'Plan annuel Différentes Maladie'!W16*Population!AO16</f>
        <v>81427.354377817464</v>
      </c>
      <c r="AY16" s="22">
        <f>'Plan annuel Différentes Maladie'!W16*Population!AF16*'Page d''accueil'!$F$16</f>
        <v>179140.17963119841</v>
      </c>
      <c r="AZ16" s="22">
        <f>'Plan annuel Différentes Maladie'!AD16*Population!AH16*'Page d''accueil'!$F$15</f>
        <v>65141.883502253979</v>
      </c>
      <c r="BA16" s="22">
        <f>'Plan annuel Différentes Maladie'!AD16*Population!AH16*'Page d''accueil'!$F$16</f>
        <v>143312.14370495873</v>
      </c>
      <c r="BB16" s="22">
        <f>'Plan annuel Différentes Maladie'!AK16*Population!AO16</f>
        <v>81427.354377817464</v>
      </c>
      <c r="BC16" s="22">
        <f>'Plan annuel Différentes Maladie'!AK16*Population!AL16</f>
        <v>325709.41751126986</v>
      </c>
      <c r="BD16" s="22">
        <f>'Plan annuel Différentes Maladie'!AR16*Population!AN16</f>
        <v>52113.506801803182</v>
      </c>
      <c r="BE16" s="22">
        <f>'Plan annuel Différentes Maladie'!AR16*Population!AO16</f>
        <v>81427.354377817464</v>
      </c>
      <c r="BF16" s="22">
        <f>'Plan annuel Différentes Maladie'!AR16*Population!AM16</f>
        <v>260567.53400901592</v>
      </c>
      <c r="BG16" s="22">
        <f>'Plan annuel Différentes Maladie'!AY16*Population!AI16*'Page d''accueil'!$J$14</f>
        <v>5211.3506801803187</v>
      </c>
      <c r="BH16" s="22">
        <f>'Plan annuel Différentes Maladie'!AY16*Population!AI16*'Page d''accueil'!$J$15</f>
        <v>46902.156121622866</v>
      </c>
      <c r="BI16" s="22">
        <f>'Plan annuel Différentes Maladie'!AY16*Population!AI16*'Page d''accueil'!$F$15</f>
        <v>65141.883502253979</v>
      </c>
      <c r="BJ16" s="22">
        <f>'Plan annuel Différentes Maladie'!AY16*Population!AI16*'Page d''accueil'!$F$16</f>
        <v>143312.14370495873</v>
      </c>
      <c r="BK16" s="22">
        <f>MAX('Pop Cibles'!AW16,'Pop Cibles'!BD16,('Pop Cibles'!BG16+'Pop Cibles'!BH16))+MAX('Pop Cibles'!AX16,'Pop Cibles'!AZ16,'Pop Cibles'!BB16,'Pop Cibles'!BE16,'Pop Cibles'!BI16)+MAX('Pop Cibles'!AY16,'Pop Cibles'!BA16,'Pop Cibles'!BC16,'Pop Cibles'!BF16,'Pop Cibles'!BJ16)</f>
        <v>459250.27869089053</v>
      </c>
      <c r="BL16" s="22">
        <f>IF(SUM('Plan annuel Différentes Maladie'!K:K)&gt;0,0,'Plan annuel Différentes Maladie'!X16*Population!AX16)</f>
        <v>0</v>
      </c>
      <c r="BM16" s="22">
        <f>'Plan annuel Différentes Maladie'!X16*Population!AY16</f>
        <v>83625.892946018532</v>
      </c>
      <c r="BN16" s="22">
        <f>'Plan annuel Différentes Maladie'!X16*Population!AP16*'Page d''accueil'!$F$16</f>
        <v>183976.96448124075</v>
      </c>
      <c r="BO16" s="22">
        <f>'Plan annuel Différentes Maladie'!AE16*Population!AR16*'Page d''accueil'!$F$15</f>
        <v>66900.714356814831</v>
      </c>
      <c r="BP16" s="22">
        <f>'Plan annuel Différentes Maladie'!AE16*Population!AR16*'Page d''accueil'!$F$16</f>
        <v>147181.57158499261</v>
      </c>
      <c r="BQ16" s="22">
        <f>'Plan annuel Différentes Maladie'!AL16*Population!AY16</f>
        <v>83625.892946018532</v>
      </c>
      <c r="BR16" s="22">
        <f>'Plan annuel Différentes Maladie'!AL16*Population!AV16</f>
        <v>334503.57178407413</v>
      </c>
      <c r="BS16" s="22">
        <f>'Plan annuel Différentes Maladie'!AS16*Population!AX16</f>
        <v>53520.571485451859</v>
      </c>
      <c r="BT16" s="22">
        <f>'Plan annuel Différentes Maladie'!AS16*Population!AY16</f>
        <v>83625.892946018532</v>
      </c>
      <c r="BU16" s="22">
        <f>'Plan annuel Différentes Maladie'!AS16*Population!AW16</f>
        <v>267602.85742725933</v>
      </c>
      <c r="BV16" s="22">
        <f>'Plan annuel Différentes Maladie'!AZ16*Population!AS16*'Page d''accueil'!$J$14</f>
        <v>5352.0571485451865</v>
      </c>
      <c r="BW16" s="22">
        <f>'Plan annuel Différentes Maladie'!AZ16*Population!AS16*'Page d''accueil'!$J$15</f>
        <v>48168.514336906679</v>
      </c>
      <c r="BX16" s="22">
        <f>'Plan annuel Différentes Maladie'!AZ16*Population!AS16*'Page d''accueil'!$F$15</f>
        <v>66900.714356814831</v>
      </c>
      <c r="BY16" s="22">
        <f>'Plan annuel Différentes Maladie'!AZ16*Population!AS16*'Page d''accueil'!$F$16</f>
        <v>147181.57158499261</v>
      </c>
      <c r="BZ16" s="22">
        <f>MAX('Pop Cibles'!BL16,'Pop Cibles'!BS16,('Pop Cibles'!BV16+'Pop Cibles'!BW16))+MAX('Pop Cibles'!BM16,'Pop Cibles'!BO16,'Pop Cibles'!BQ16,'Pop Cibles'!BT16,'Pop Cibles'!BX16)+MAX('Pop Cibles'!BN16,'Pop Cibles'!BP16,'Pop Cibles'!BR16,'Pop Cibles'!BU16,'Pop Cibles'!BY16)</f>
        <v>471650.03621554456</v>
      </c>
    </row>
    <row r="17" spans="1:78" s="5" customFormat="1" ht="12" customHeight="1">
      <c r="A17" s="19">
        <v>14</v>
      </c>
      <c r="B17" s="21" t="str">
        <f>'Plan annuel Différentes Maladie'!B17</f>
        <v>FARANAH</v>
      </c>
      <c r="C17" s="21" t="str">
        <f>Population!C17</f>
        <v>Kissidougou</v>
      </c>
      <c r="D17" s="22">
        <f>IF(SUM('Plan annuel Différentes Maladie'!K:K)&gt;0,0,'Plan annuel Différentes Maladie'!T17*Population!J17)</f>
        <v>0</v>
      </c>
      <c r="E17" s="22">
        <f>'Plan annuel Différentes Maladie'!T17*Population!K17</f>
        <v>75028</v>
      </c>
      <c r="F17" s="22">
        <f>'Plan annuel Différentes Maladie'!T17*Population!D17*'Page d''accueil'!$F$16</f>
        <v>165061.59999999998</v>
      </c>
      <c r="G17" s="22">
        <f>'Plan annuel Différentes Maladie'!AA17*Population!F17*'Page d''accueil'!$F$15</f>
        <v>60022.400000000001</v>
      </c>
      <c r="H17" s="22">
        <f>'Plan annuel Différentes Maladie'!AA17*Population!F17*'Page d''accueil'!$F$16</f>
        <v>132049.28</v>
      </c>
      <c r="I17" s="22">
        <f>'Plan annuel Différentes Maladie'!AH17*Population!K17</f>
        <v>75028</v>
      </c>
      <c r="J17" s="22">
        <f>'Plan annuel Différentes Maladie'!AH17*Population!H17</f>
        <v>300112</v>
      </c>
      <c r="K17" s="22">
        <f>'Plan annuel Différentes Maladie'!AO17*Population!J17</f>
        <v>123045.92</v>
      </c>
      <c r="L17" s="22">
        <f>'Plan annuel Différentes Maladie'!AO17*Population!K17</f>
        <v>75028</v>
      </c>
      <c r="M17" s="22">
        <f>'Plan annuel Différentes Maladie'!AO17*Population!I17</f>
        <v>240089.60000000001</v>
      </c>
      <c r="N17" s="22">
        <f>'Plan annuel Différentes Maladie'!AV17*Population!G17*'Page d''accueil'!$J$14</f>
        <v>4801.7920000000004</v>
      </c>
      <c r="O17" s="22">
        <f>'Plan annuel Différentes Maladie'!AV17*Population!G17*'Page d''accueil'!$J$15</f>
        <v>43216.127999999997</v>
      </c>
      <c r="P17" s="22">
        <f>'Plan annuel Différentes Maladie'!AV17*Population!G17*'Page d''accueil'!$F$15</f>
        <v>60022.400000000001</v>
      </c>
      <c r="Q17" s="22">
        <f>'Plan annuel Différentes Maladie'!AV17*Population!G17*'Page d''accueil'!$F$16</f>
        <v>132049.28</v>
      </c>
      <c r="R17" s="22">
        <f>MAX('Pop Cibles'!D17,'Pop Cibles'!K17,('Pop Cibles'!N17+'Pop Cibles'!O17))+MAX('Pop Cibles'!E17,'Pop Cibles'!G17,'Pop Cibles'!I17,'Pop Cibles'!L17,'Pop Cibles'!P17)+MAX('Pop Cibles'!F17,'Pop Cibles'!H17,'Pop Cibles'!J17,'Pop Cibles'!M17,'Pop Cibles'!Q17)</f>
        <v>498185.92</v>
      </c>
      <c r="S17" s="22">
        <f>IF(SUM('Plan annuel Différentes Maladie'!K:K)&gt;0,0,'Plan annuel Différentes Maladie'!U17*Population!T17)</f>
        <v>0</v>
      </c>
      <c r="T17" s="22">
        <f>'Plan annuel Différentes Maladie'!U17*Population!U17</f>
        <v>77053.755999999994</v>
      </c>
      <c r="U17" s="22">
        <f>'Plan annuel Différentes Maladie'!U17*Population!L17*'Page d''accueil'!$F$16</f>
        <v>169518.26319999996</v>
      </c>
      <c r="V17" s="22">
        <f>'Plan annuel Différentes Maladie'!AB17*Population!N17*'Page d''accueil'!$F$15</f>
        <v>61643.004799999995</v>
      </c>
      <c r="W17" s="22">
        <f>'Plan annuel Différentes Maladie'!AB17*Population!N17*'Page d''accueil'!$F$16</f>
        <v>135614.61055999997</v>
      </c>
      <c r="X17" s="22">
        <f>'Plan annuel Différentes Maladie'!AI17*Population!U17</f>
        <v>77053.755999999994</v>
      </c>
      <c r="Y17" s="22">
        <f>'Plan annuel Différentes Maladie'!AI17*Population!R17</f>
        <v>308215.02399999998</v>
      </c>
      <c r="Z17" s="22">
        <f>'Plan annuel Différentes Maladie'!AP17*Population!T17</f>
        <v>49314.403839999999</v>
      </c>
      <c r="AA17" s="22">
        <f>'Plan annuel Différentes Maladie'!AP17*Population!U17</f>
        <v>77053.755999999994</v>
      </c>
      <c r="AB17" s="22">
        <f>'Plan annuel Différentes Maladie'!AP17*Population!S17</f>
        <v>246572.01919999998</v>
      </c>
      <c r="AC17" s="22">
        <f>'Plan annuel Différentes Maladie'!AW17*Population!Q17*'Page d''accueil'!$J$14</f>
        <v>4931.4403839999995</v>
      </c>
      <c r="AD17" s="22">
        <f>'Plan annuel Différentes Maladie'!AW17*Population!Q17*'Page d''accueil'!$J$15</f>
        <v>44382.963455999998</v>
      </c>
      <c r="AE17" s="22">
        <f>'Plan annuel Différentes Maladie'!AW17*Population!Q17*'Page d''accueil'!$F$15</f>
        <v>61643.004799999995</v>
      </c>
      <c r="AF17" s="22">
        <f>'Plan annuel Différentes Maladie'!AW17*Population!Q17*'Page d''accueil'!$F$16</f>
        <v>135614.61055999997</v>
      </c>
      <c r="AG17" s="22">
        <f>MAX('Pop Cibles'!S17,'Pop Cibles'!Z17,('Pop Cibles'!AC17+'Pop Cibles'!AD17))+MAX('Pop Cibles'!T17,'Pop Cibles'!V17,'Pop Cibles'!X17,'Pop Cibles'!AA17,'Pop Cibles'!AE17)+MAX('Pop Cibles'!U17,'Pop Cibles'!W17,'Pop Cibles'!Y17,'Pop Cibles'!AB17,'Pop Cibles'!AF17)</f>
        <v>434583.18383999995</v>
      </c>
      <c r="AH17" s="22">
        <f>IF(SUM('Plan annuel Différentes Maladie'!K:K)&gt;0,0,'Plan annuel Différentes Maladie'!V17*Population!AD17)</f>
        <v>0</v>
      </c>
      <c r="AI17" s="22">
        <f>'Plan annuel Différentes Maladie'!V17*Population!AE17</f>
        <v>79134.207411999989</v>
      </c>
      <c r="AJ17" s="22">
        <f>'Plan annuel Différentes Maladie'!V17*Population!V17*'Page d''accueil'!$F$16</f>
        <v>174095.25630639994</v>
      </c>
      <c r="AK17" s="22">
        <f>'Plan annuel Différentes Maladie'!AC17*Population!X17*'Page d''accueil'!$F$15</f>
        <v>63307.36592959999</v>
      </c>
      <c r="AL17" s="22">
        <f>'Plan annuel Différentes Maladie'!AC17*Population!X17*'Page d''accueil'!$F$16</f>
        <v>139276.20504511995</v>
      </c>
      <c r="AM17" s="22">
        <f>'Plan annuel Différentes Maladie'!AJ17*Population!AE17</f>
        <v>79134.207411999989</v>
      </c>
      <c r="AN17" s="22">
        <f>'Plan annuel Différentes Maladie'!AJ17*Population!AB17</f>
        <v>316536.82964799996</v>
      </c>
      <c r="AO17" s="22">
        <f>'Plan annuel Différentes Maladie'!AQ17*Population!AD17</f>
        <v>50645.892743679993</v>
      </c>
      <c r="AP17" s="22">
        <f>'Plan annuel Différentes Maladie'!AQ17*Population!AE17</f>
        <v>79134.207411999989</v>
      </c>
      <c r="AQ17" s="22">
        <f>'Plan annuel Différentes Maladie'!AQ17*Population!AC17</f>
        <v>253229.46371839996</v>
      </c>
      <c r="AR17" s="22">
        <f>'Plan annuel Différentes Maladie'!AX17*Population!Y17*'Page d''accueil'!$J$14</f>
        <v>5064.5892743679997</v>
      </c>
      <c r="AS17" s="22">
        <f>'Plan annuel Différentes Maladie'!AX17*Population!Y17*'Page d''accueil'!$J$15</f>
        <v>45581.303469311992</v>
      </c>
      <c r="AT17" s="22">
        <f>'Plan annuel Différentes Maladie'!AX17*Population!Y17*'Page d''accueil'!$F$15</f>
        <v>63307.36592959999</v>
      </c>
      <c r="AU17" s="22">
        <f>'Plan annuel Différentes Maladie'!AX17*Population!Y17*'Page d''accueil'!$F$16</f>
        <v>139276.20504511995</v>
      </c>
      <c r="AV17" s="22">
        <f>MAX('Pop Cibles'!AH17,'Pop Cibles'!AO17,('Pop Cibles'!AR17+'Pop Cibles'!AS17))+MAX('Pop Cibles'!AI17,'Pop Cibles'!AK17,'Pop Cibles'!AM17,'Pop Cibles'!AP17,'Pop Cibles'!AT17)+MAX('Pop Cibles'!AJ17,'Pop Cibles'!AL17,'Pop Cibles'!AN17,'Pop Cibles'!AQ17,'Pop Cibles'!AU17)</f>
        <v>446316.92980367993</v>
      </c>
      <c r="AW17" s="22">
        <f>IF(SUM('Plan annuel Différentes Maladie'!K:K)&gt;0,0,'Plan annuel Différentes Maladie'!W17*Population!AN17)</f>
        <v>0</v>
      </c>
      <c r="AX17" s="22">
        <f>'Plan annuel Différentes Maladie'!W17*Population!AO17</f>
        <v>81270.831012123977</v>
      </c>
      <c r="AY17" s="22">
        <f>'Plan annuel Différentes Maladie'!W17*Population!AF17*'Page d''accueil'!$F$16</f>
        <v>178795.82822667272</v>
      </c>
      <c r="AZ17" s="22">
        <f>'Plan annuel Différentes Maladie'!AD17*Population!AH17*'Page d''accueil'!$F$15</f>
        <v>65016.664809699185</v>
      </c>
      <c r="BA17" s="22">
        <f>'Plan annuel Différentes Maladie'!AD17*Population!AH17*'Page d''accueil'!$F$16</f>
        <v>143036.6625813382</v>
      </c>
      <c r="BB17" s="22">
        <f>'Plan annuel Différentes Maladie'!AK17*Population!AO17</f>
        <v>81270.831012123977</v>
      </c>
      <c r="BC17" s="22">
        <f>'Plan annuel Différentes Maladie'!AK17*Population!AL17</f>
        <v>325083.32404849591</v>
      </c>
      <c r="BD17" s="22">
        <f>'Plan annuel Différentes Maladie'!AR17*Population!AN17</f>
        <v>52013.331847759349</v>
      </c>
      <c r="BE17" s="22">
        <f>'Plan annuel Différentes Maladie'!AR17*Population!AO17</f>
        <v>81270.831012123977</v>
      </c>
      <c r="BF17" s="22">
        <f>'Plan annuel Différentes Maladie'!AR17*Population!AM17</f>
        <v>260066.65923879674</v>
      </c>
      <c r="BG17" s="22">
        <f>'Plan annuel Différentes Maladie'!AY17*Population!AI17*'Page d''accueil'!$J$14</f>
        <v>5201.3331847759346</v>
      </c>
      <c r="BH17" s="22">
        <f>'Plan annuel Différentes Maladie'!AY17*Population!AI17*'Page d''accueil'!$J$15</f>
        <v>46811.998662983409</v>
      </c>
      <c r="BI17" s="22">
        <f>'Plan annuel Différentes Maladie'!AY17*Population!AI17*'Page d''accueil'!$F$15</f>
        <v>65016.664809699185</v>
      </c>
      <c r="BJ17" s="22">
        <f>'Plan annuel Différentes Maladie'!AY17*Population!AI17*'Page d''accueil'!$F$16</f>
        <v>143036.6625813382</v>
      </c>
      <c r="BK17" s="22">
        <f>MAX('Pop Cibles'!AW17,'Pop Cibles'!BD17,('Pop Cibles'!BG17+'Pop Cibles'!BH17))+MAX('Pop Cibles'!AX17,'Pop Cibles'!AZ17,'Pop Cibles'!BB17,'Pop Cibles'!BE17,'Pop Cibles'!BI17)+MAX('Pop Cibles'!AY17,'Pop Cibles'!BA17,'Pop Cibles'!BC17,'Pop Cibles'!BF17,'Pop Cibles'!BJ17)</f>
        <v>458367.48690837924</v>
      </c>
      <c r="BL17" s="22">
        <f>IF(SUM('Plan annuel Différentes Maladie'!K:K)&gt;0,0,'Plan annuel Différentes Maladie'!X17*Population!AX17)</f>
        <v>0</v>
      </c>
      <c r="BM17" s="22">
        <f>'Plan annuel Différentes Maladie'!X17*Population!AY17</f>
        <v>83465.143449451323</v>
      </c>
      <c r="BN17" s="22">
        <f>'Plan annuel Différentes Maladie'!X17*Population!AP17*'Page d''accueil'!$F$16</f>
        <v>183623.3155887929</v>
      </c>
      <c r="BO17" s="22">
        <f>'Plan annuel Différentes Maladie'!AE17*Population!AR17*'Page d''accueil'!$F$15</f>
        <v>66772.114759561053</v>
      </c>
      <c r="BP17" s="22">
        <f>'Plan annuel Différentes Maladie'!AE17*Population!AR17*'Page d''accueil'!$F$16</f>
        <v>146898.65247103429</v>
      </c>
      <c r="BQ17" s="22">
        <f>'Plan annuel Différentes Maladie'!AL17*Population!AY17</f>
        <v>83465.143449451323</v>
      </c>
      <c r="BR17" s="22">
        <f>'Plan annuel Différentes Maladie'!AL17*Population!AV17</f>
        <v>333860.57379780529</v>
      </c>
      <c r="BS17" s="22">
        <f>'Plan annuel Différentes Maladie'!AS17*Population!AX17</f>
        <v>53417.691807648851</v>
      </c>
      <c r="BT17" s="22">
        <f>'Plan annuel Différentes Maladie'!AS17*Population!AY17</f>
        <v>83465.143449451323</v>
      </c>
      <c r="BU17" s="22">
        <f>'Plan annuel Différentes Maladie'!AS17*Population!AW17</f>
        <v>267088.45903824421</v>
      </c>
      <c r="BV17" s="22">
        <f>'Plan annuel Différentes Maladie'!AZ17*Population!AS17*'Page d''accueil'!$J$14</f>
        <v>5341.7691807648844</v>
      </c>
      <c r="BW17" s="22">
        <f>'Plan annuel Différentes Maladie'!AZ17*Population!AS17*'Page d''accueil'!$J$15</f>
        <v>48075.922626883956</v>
      </c>
      <c r="BX17" s="22">
        <f>'Plan annuel Différentes Maladie'!AZ17*Population!AS17*'Page d''accueil'!$F$15</f>
        <v>66772.114759561053</v>
      </c>
      <c r="BY17" s="22">
        <f>'Plan annuel Différentes Maladie'!AZ17*Population!AS17*'Page d''accueil'!$F$16</f>
        <v>146898.65247103429</v>
      </c>
      <c r="BZ17" s="22">
        <f>MAX('Pop Cibles'!BL17,'Pop Cibles'!BS17,('Pop Cibles'!BV17+'Pop Cibles'!BW17))+MAX('Pop Cibles'!BM17,'Pop Cibles'!BO17,'Pop Cibles'!BQ17,'Pop Cibles'!BT17,'Pop Cibles'!BX17)+MAX('Pop Cibles'!BN17,'Pop Cibles'!BP17,'Pop Cibles'!BR17,'Pop Cibles'!BU17,'Pop Cibles'!BY17)</f>
        <v>470743.40905490547</v>
      </c>
    </row>
    <row r="18" spans="1:78" s="5" customFormat="1" ht="12" customHeight="1">
      <c r="A18" s="19">
        <v>15</v>
      </c>
      <c r="B18" s="21" t="str">
        <f>'Plan annuel Différentes Maladie'!B18</f>
        <v>KANKAN</v>
      </c>
      <c r="C18" s="21" t="str">
        <f>Population!C18</f>
        <v>Kankan</v>
      </c>
      <c r="D18" s="22">
        <f>IF(SUM('Plan annuel Différentes Maladie'!K:K)&gt;0,0,'Plan annuel Différentes Maladie'!T18*Population!J18)</f>
        <v>0</v>
      </c>
      <c r="E18" s="22">
        <f>'Plan annuel Différentes Maladie'!T18*Population!K18</f>
        <v>131972.75</v>
      </c>
      <c r="F18" s="22">
        <f>'Plan annuel Différentes Maladie'!T18*Population!D18*'Page d''accueil'!$F$16</f>
        <v>290340.05</v>
      </c>
      <c r="G18" s="22">
        <f>'Plan annuel Différentes Maladie'!AA18*Population!F18*'Page d''accueil'!$F$15</f>
        <v>105578.20000000001</v>
      </c>
      <c r="H18" s="22">
        <f>'Plan annuel Différentes Maladie'!AA18*Population!F18*'Page d''accueil'!$F$16</f>
        <v>232272.04</v>
      </c>
      <c r="I18" s="22">
        <f>'Plan annuel Différentes Maladie'!AH18*Population!K18</f>
        <v>131972.75</v>
      </c>
      <c r="J18" s="22">
        <f>'Plan annuel Différentes Maladie'!AH18*Population!H18</f>
        <v>0</v>
      </c>
      <c r="K18" s="22">
        <f>'Plan annuel Différentes Maladie'!AO18*Population!J18</f>
        <v>216435.31</v>
      </c>
      <c r="L18" s="22">
        <f>'Plan annuel Différentes Maladie'!AO18*Population!K18</f>
        <v>131972.75</v>
      </c>
      <c r="M18" s="22">
        <f>'Plan annuel Différentes Maladie'!AO18*Population!I18</f>
        <v>131972.75</v>
      </c>
      <c r="N18" s="22">
        <f>'Plan annuel Différentes Maladie'!AV18*Population!G18*'Page d''accueil'!$J$14</f>
        <v>0</v>
      </c>
      <c r="O18" s="22">
        <f>'Plan annuel Différentes Maladie'!AV18*Population!G18*'Page d''accueil'!$J$15</f>
        <v>0</v>
      </c>
      <c r="P18" s="22">
        <f>'Plan annuel Différentes Maladie'!AV18*Population!G18*'Page d''accueil'!$F$15</f>
        <v>0</v>
      </c>
      <c r="Q18" s="22">
        <f>'Plan annuel Différentes Maladie'!AV18*Population!G18*'Page d''accueil'!$F$16</f>
        <v>0</v>
      </c>
      <c r="R18" s="22">
        <f>MAX('Pop Cibles'!D18,'Pop Cibles'!K18,('Pop Cibles'!N18+'Pop Cibles'!O18))+MAX('Pop Cibles'!E18,'Pop Cibles'!G18,'Pop Cibles'!I18,'Pop Cibles'!L18,'Pop Cibles'!P18)+MAX('Pop Cibles'!F18,'Pop Cibles'!H18,'Pop Cibles'!J18,'Pop Cibles'!M18,'Pop Cibles'!Q18)</f>
        <v>638748.11</v>
      </c>
      <c r="S18" s="22">
        <f>IF(SUM('Plan annuel Différentes Maladie'!K:K)&gt;0,0,'Plan annuel Différentes Maladie'!U18*Population!T18)</f>
        <v>0</v>
      </c>
      <c r="T18" s="22">
        <f>'Plan annuel Différentes Maladie'!U18*Population!U18</f>
        <v>135536.01424999998</v>
      </c>
      <c r="U18" s="22">
        <f>'Plan annuel Différentes Maladie'!U18*Population!L18*'Page d''accueil'!$F$16</f>
        <v>298179.2313499999</v>
      </c>
      <c r="V18" s="22">
        <f>'Plan annuel Différentes Maladie'!AB18*Population!N18*'Page d''accueil'!$F$15</f>
        <v>108428.81140000001</v>
      </c>
      <c r="W18" s="22">
        <f>'Plan annuel Différentes Maladie'!AB18*Population!N18*'Page d''accueil'!$F$16</f>
        <v>238543.38507999998</v>
      </c>
      <c r="X18" s="22">
        <f>'Plan annuel Différentes Maladie'!AI18*Population!U18</f>
        <v>0</v>
      </c>
      <c r="Y18" s="22">
        <f>'Plan annuel Différentes Maladie'!AI18*Population!R18</f>
        <v>0</v>
      </c>
      <c r="Z18" s="22">
        <f>'Plan annuel Différentes Maladie'!AP18*Population!T18</f>
        <v>86743.049119999981</v>
      </c>
      <c r="AA18" s="22">
        <f>'Plan annuel Différentes Maladie'!AP18*Population!U18</f>
        <v>135536.01424999998</v>
      </c>
      <c r="AB18" s="22">
        <f>'Plan annuel Différentes Maladie'!AP18*Population!S18</f>
        <v>135536.01424999998</v>
      </c>
      <c r="AC18" s="22">
        <f>'Plan annuel Différentes Maladie'!AW18*Population!Q18*'Page d''accueil'!$J$14</f>
        <v>0</v>
      </c>
      <c r="AD18" s="22">
        <f>'Plan annuel Différentes Maladie'!AW18*Population!Q18*'Page d''accueil'!$J$15</f>
        <v>0</v>
      </c>
      <c r="AE18" s="22">
        <f>'Plan annuel Différentes Maladie'!AW18*Population!Q18*'Page d''accueil'!$F$15</f>
        <v>0</v>
      </c>
      <c r="AF18" s="22">
        <f>'Plan annuel Différentes Maladie'!AW18*Population!Q18*'Page d''accueil'!$F$16</f>
        <v>0</v>
      </c>
      <c r="AG18" s="22">
        <f>MAX('Pop Cibles'!S18,'Pop Cibles'!Z18,('Pop Cibles'!AC18+'Pop Cibles'!AD18))+MAX('Pop Cibles'!T18,'Pop Cibles'!V18,'Pop Cibles'!X18,'Pop Cibles'!AA18,'Pop Cibles'!AE18)+MAX('Pop Cibles'!U18,'Pop Cibles'!W18,'Pop Cibles'!Y18,'Pop Cibles'!AB18,'Pop Cibles'!AF18)</f>
        <v>520458.29471999989</v>
      </c>
      <c r="AH18" s="22">
        <f>IF(SUM('Plan annuel Différentes Maladie'!K:K)&gt;0,0,'Plan annuel Différentes Maladie'!V18*Population!AD18)</f>
        <v>0</v>
      </c>
      <c r="AI18" s="22">
        <f>'Plan annuel Différentes Maladie'!V18*Population!AE18</f>
        <v>139195.48663474998</v>
      </c>
      <c r="AJ18" s="22">
        <f>'Plan annuel Différentes Maladie'!V18*Population!V18*'Page d''accueil'!$F$16</f>
        <v>306230.07059644989</v>
      </c>
      <c r="AK18" s="22">
        <f>'Plan annuel Différentes Maladie'!AC18*Population!X18*'Page d''accueil'!$F$15</f>
        <v>111356.3893078</v>
      </c>
      <c r="AL18" s="22">
        <f>'Plan annuel Différentes Maladie'!AC18*Population!X18*'Page d''accueil'!$F$16</f>
        <v>244984.05647715996</v>
      </c>
      <c r="AM18" s="22">
        <f>'Plan annuel Différentes Maladie'!AJ18*Population!AE18</f>
        <v>139195.48663474998</v>
      </c>
      <c r="AN18" s="22">
        <f>'Plan annuel Différentes Maladie'!AJ18*Population!AB18</f>
        <v>0</v>
      </c>
      <c r="AO18" s="22">
        <f>'Plan annuel Différentes Maladie'!AQ18*Population!AD18</f>
        <v>89085.111446239986</v>
      </c>
      <c r="AP18" s="22">
        <f>'Plan annuel Différentes Maladie'!AQ18*Population!AE18</f>
        <v>139195.48663474998</v>
      </c>
      <c r="AQ18" s="22">
        <f>'Plan annuel Différentes Maladie'!AQ18*Population!AC18</f>
        <v>139195.48663474998</v>
      </c>
      <c r="AR18" s="22">
        <f>'Plan annuel Différentes Maladie'!AX18*Population!Y18*'Page d''accueil'!$J$14</f>
        <v>0</v>
      </c>
      <c r="AS18" s="22">
        <f>'Plan annuel Différentes Maladie'!AX18*Population!Y18*'Page d''accueil'!$J$15</f>
        <v>0</v>
      </c>
      <c r="AT18" s="22">
        <f>'Plan annuel Différentes Maladie'!AX18*Population!Y18*'Page d''accueil'!$F$15</f>
        <v>0</v>
      </c>
      <c r="AU18" s="22">
        <f>'Plan annuel Différentes Maladie'!AX18*Population!Y18*'Page d''accueil'!$F$16</f>
        <v>0</v>
      </c>
      <c r="AV18" s="22">
        <f>MAX('Pop Cibles'!AH18,'Pop Cibles'!AO18,('Pop Cibles'!AR18+'Pop Cibles'!AS18))+MAX('Pop Cibles'!AI18,'Pop Cibles'!AK18,'Pop Cibles'!AM18,'Pop Cibles'!AP18,'Pop Cibles'!AT18)+MAX('Pop Cibles'!AJ18,'Pop Cibles'!AL18,'Pop Cibles'!AN18,'Pop Cibles'!AQ18,'Pop Cibles'!AU18)</f>
        <v>534510.66867743991</v>
      </c>
      <c r="AW18" s="22">
        <f>IF(SUM('Plan annuel Différentes Maladie'!K:K)&gt;0,0,'Plan annuel Différentes Maladie'!W18*Population!AN18)</f>
        <v>0</v>
      </c>
      <c r="AX18" s="22">
        <f>'Plan annuel Différentes Maladie'!W18*Population!AO18</f>
        <v>142953.76477388822</v>
      </c>
      <c r="AY18" s="22">
        <f>'Plan annuel Différentes Maladie'!W18*Population!AF18*'Page d''accueil'!$F$16</f>
        <v>314498.28250255407</v>
      </c>
      <c r="AZ18" s="22">
        <f>'Plan annuel Différentes Maladie'!AD18*Population!AH18*'Page d''accueil'!$F$15</f>
        <v>114363.01181911059</v>
      </c>
      <c r="BA18" s="22">
        <f>'Plan annuel Différentes Maladie'!AD18*Population!AH18*'Page d''accueil'!$F$16</f>
        <v>251598.62600204325</v>
      </c>
      <c r="BB18" s="22">
        <f>'Plan annuel Différentes Maladie'!AK18*Population!AO18</f>
        <v>0</v>
      </c>
      <c r="BC18" s="22">
        <f>'Plan annuel Différentes Maladie'!AK18*Population!AL18</f>
        <v>0</v>
      </c>
      <c r="BD18" s="22">
        <f>'Plan annuel Différentes Maladie'!AR18*Population!AN18</f>
        <v>91490.409455288464</v>
      </c>
      <c r="BE18" s="22">
        <f>'Plan annuel Différentes Maladie'!AR18*Population!AO18</f>
        <v>142953.76477388822</v>
      </c>
      <c r="BF18" s="22">
        <f>'Plan annuel Différentes Maladie'!AR18*Population!AM18</f>
        <v>142953.76477388822</v>
      </c>
      <c r="BG18" s="22">
        <f>'Plan annuel Différentes Maladie'!AY18*Population!AI18*'Page d''accueil'!$J$14</f>
        <v>0</v>
      </c>
      <c r="BH18" s="22">
        <f>'Plan annuel Différentes Maladie'!AY18*Population!AI18*'Page d''accueil'!$J$15</f>
        <v>0</v>
      </c>
      <c r="BI18" s="22">
        <f>'Plan annuel Différentes Maladie'!AY18*Population!AI18*'Page d''accueil'!$F$15</f>
        <v>0</v>
      </c>
      <c r="BJ18" s="22">
        <f>'Plan annuel Différentes Maladie'!AY18*Population!AI18*'Page d''accueil'!$F$16</f>
        <v>0</v>
      </c>
      <c r="BK18" s="22">
        <f>MAX('Pop Cibles'!AW18,'Pop Cibles'!BD18,('Pop Cibles'!BG18+'Pop Cibles'!BH18))+MAX('Pop Cibles'!AX18,'Pop Cibles'!AZ18,'Pop Cibles'!BB18,'Pop Cibles'!BE18,'Pop Cibles'!BI18)+MAX('Pop Cibles'!AY18,'Pop Cibles'!BA18,'Pop Cibles'!BC18,'Pop Cibles'!BF18,'Pop Cibles'!BJ18)</f>
        <v>548942.45673173072</v>
      </c>
      <c r="BL18" s="22">
        <f>IF(SUM('Plan annuel Différentes Maladie'!K:K)&gt;0,0,'Plan annuel Différentes Maladie'!X18*Population!AX18)</f>
        <v>0</v>
      </c>
      <c r="BM18" s="22">
        <f>'Plan annuel Différentes Maladie'!X18*Population!AY18</f>
        <v>146813.5164227832</v>
      </c>
      <c r="BN18" s="22">
        <f>'Plan annuel Différentes Maladie'!X18*Population!AP18*'Page d''accueil'!$F$16</f>
        <v>322989.73613012303</v>
      </c>
      <c r="BO18" s="22">
        <f>'Plan annuel Différentes Maladie'!AE18*Population!AR18*'Page d''accueil'!$F$15</f>
        <v>117450.81313822656</v>
      </c>
      <c r="BP18" s="22">
        <f>'Plan annuel Différentes Maladie'!AE18*Population!AR18*'Page d''accueil'!$F$16</f>
        <v>258391.78890409839</v>
      </c>
      <c r="BQ18" s="22">
        <f>'Plan annuel Différentes Maladie'!AL18*Population!AY18</f>
        <v>146813.5164227832</v>
      </c>
      <c r="BR18" s="22">
        <f>'Plan annuel Différentes Maladie'!AL18*Population!AV18</f>
        <v>0</v>
      </c>
      <c r="BS18" s="22">
        <f>'Plan annuel Différentes Maladie'!AS18*Population!AX18</f>
        <v>93960.650510581254</v>
      </c>
      <c r="BT18" s="22">
        <f>'Plan annuel Différentes Maladie'!AS18*Population!AY18</f>
        <v>146813.5164227832</v>
      </c>
      <c r="BU18" s="22">
        <f>'Plan annuel Différentes Maladie'!AS18*Population!AW18</f>
        <v>146813.5164227832</v>
      </c>
      <c r="BV18" s="22">
        <f>'Plan annuel Différentes Maladie'!AZ18*Population!AS18*'Page d''accueil'!$J$14</f>
        <v>0</v>
      </c>
      <c r="BW18" s="22">
        <f>'Plan annuel Différentes Maladie'!AZ18*Population!AS18*'Page d''accueil'!$J$15</f>
        <v>0</v>
      </c>
      <c r="BX18" s="22">
        <f>'Plan annuel Différentes Maladie'!AZ18*Population!AS18*'Page d''accueil'!$F$15</f>
        <v>0</v>
      </c>
      <c r="BY18" s="22">
        <f>'Plan annuel Différentes Maladie'!AZ18*Population!AS18*'Page d''accueil'!$F$16</f>
        <v>0</v>
      </c>
      <c r="BZ18" s="22">
        <f>MAX('Pop Cibles'!BL18,'Pop Cibles'!BS18,('Pop Cibles'!BV18+'Pop Cibles'!BW18))+MAX('Pop Cibles'!BM18,'Pop Cibles'!BO18,'Pop Cibles'!BQ18,'Pop Cibles'!BT18,'Pop Cibles'!BX18)+MAX('Pop Cibles'!BN18,'Pop Cibles'!BP18,'Pop Cibles'!BR18,'Pop Cibles'!BU18,'Pop Cibles'!BY18)</f>
        <v>563763.90306348749</v>
      </c>
    </row>
    <row r="19" spans="1:78" s="5" customFormat="1" ht="12" customHeight="1">
      <c r="A19" s="19">
        <v>16</v>
      </c>
      <c r="B19" s="21" t="str">
        <f>'Plan annuel Différentes Maladie'!B19</f>
        <v>KANKAN</v>
      </c>
      <c r="C19" s="21" t="str">
        <f>Population!C19</f>
        <v>Kérouané</v>
      </c>
      <c r="D19" s="22">
        <f>IF(SUM('Plan annuel Différentes Maladie'!K:K)&gt;0,0,'Plan annuel Différentes Maladie'!T19*Population!J19)</f>
        <v>0</v>
      </c>
      <c r="E19" s="22">
        <f>'Plan annuel Différentes Maladie'!T19*Population!K19</f>
        <v>55741</v>
      </c>
      <c r="F19" s="22">
        <f>'Plan annuel Différentes Maladie'!T19*Population!D19*'Page d''accueil'!$F$16</f>
        <v>122630.19999999998</v>
      </c>
      <c r="G19" s="22">
        <f>'Plan annuel Différentes Maladie'!AA19*Population!F19*'Page d''accueil'!$F$15</f>
        <v>44592.800000000003</v>
      </c>
      <c r="H19" s="22">
        <f>'Plan annuel Différentes Maladie'!AA19*Population!F19*'Page d''accueil'!$F$16</f>
        <v>98104.159999999989</v>
      </c>
      <c r="I19" s="22">
        <f>'Plan annuel Différentes Maladie'!AH19*Population!K19</f>
        <v>55741</v>
      </c>
      <c r="J19" s="22">
        <f>'Plan annuel Différentes Maladie'!AH19*Population!H19</f>
        <v>0</v>
      </c>
      <c r="K19" s="22">
        <f>'Plan annuel Différentes Maladie'!AO19*Population!J19</f>
        <v>91415.239999999991</v>
      </c>
      <c r="L19" s="22">
        <f>'Plan annuel Différentes Maladie'!AO19*Population!K19</f>
        <v>55741</v>
      </c>
      <c r="M19" s="22">
        <f>'Plan annuel Différentes Maladie'!AO19*Population!I19</f>
        <v>178371.20000000001</v>
      </c>
      <c r="N19" s="22">
        <f>'Plan annuel Différentes Maladie'!AV19*Population!G19*'Page d''accueil'!$J$14</f>
        <v>0</v>
      </c>
      <c r="O19" s="22">
        <f>'Plan annuel Différentes Maladie'!AV19*Population!G19*'Page d''accueil'!$J$15</f>
        <v>0</v>
      </c>
      <c r="P19" s="22">
        <f>'Plan annuel Différentes Maladie'!AV19*Population!G19*'Page d''accueil'!$F$15</f>
        <v>0</v>
      </c>
      <c r="Q19" s="22">
        <f>'Plan annuel Différentes Maladie'!AV19*Population!G19*'Page d''accueil'!$F$16</f>
        <v>0</v>
      </c>
      <c r="R19" s="22">
        <f>MAX('Pop Cibles'!D19,'Pop Cibles'!K19,('Pop Cibles'!N19+'Pop Cibles'!O19))+MAX('Pop Cibles'!E19,'Pop Cibles'!G19,'Pop Cibles'!I19,'Pop Cibles'!L19,'Pop Cibles'!P19)+MAX('Pop Cibles'!F19,'Pop Cibles'!H19,'Pop Cibles'!J19,'Pop Cibles'!M19,'Pop Cibles'!Q19)</f>
        <v>325527.44</v>
      </c>
      <c r="S19" s="22">
        <f>IF(SUM('Plan annuel Différentes Maladie'!K:K)&gt;0,0,'Plan annuel Différentes Maladie'!U19*Population!T19)</f>
        <v>0</v>
      </c>
      <c r="T19" s="22">
        <f>'Plan annuel Différentes Maladie'!U19*Population!U19</f>
        <v>57246.006999999998</v>
      </c>
      <c r="U19" s="22">
        <f>'Plan annuel Différentes Maladie'!U19*Population!L19*'Page d''accueil'!$F$16</f>
        <v>125941.21539999999</v>
      </c>
      <c r="V19" s="22">
        <f>'Plan annuel Différentes Maladie'!AB19*Population!N19*'Page d''accueil'!$F$15</f>
        <v>45796.8056</v>
      </c>
      <c r="W19" s="22">
        <f>'Plan annuel Différentes Maladie'!AB19*Population!N19*'Page d''accueil'!$F$16</f>
        <v>100752.97231999999</v>
      </c>
      <c r="X19" s="22">
        <f>'Plan annuel Différentes Maladie'!AI19*Population!U19</f>
        <v>57246.006999999998</v>
      </c>
      <c r="Y19" s="22">
        <f>'Plan annuel Différentes Maladie'!AI19*Population!R19</f>
        <v>0</v>
      </c>
      <c r="Z19" s="22">
        <f>'Plan annuel Différentes Maladie'!AP19*Population!T19</f>
        <v>36637.444479999998</v>
      </c>
      <c r="AA19" s="22">
        <f>'Plan annuel Différentes Maladie'!AP19*Population!U19</f>
        <v>57246.006999999998</v>
      </c>
      <c r="AB19" s="22">
        <f>'Plan annuel Différentes Maladie'!AP19*Population!S19</f>
        <v>183187.2224</v>
      </c>
      <c r="AC19" s="22">
        <f>'Plan annuel Différentes Maladie'!AW19*Population!Q19*'Page d''accueil'!$J$14</f>
        <v>0</v>
      </c>
      <c r="AD19" s="22">
        <f>'Plan annuel Différentes Maladie'!AW19*Population!Q19*'Page d''accueil'!$J$15</f>
        <v>0</v>
      </c>
      <c r="AE19" s="22">
        <f>'Plan annuel Différentes Maladie'!AW19*Population!Q19*'Page d''accueil'!$F$15</f>
        <v>0</v>
      </c>
      <c r="AF19" s="22">
        <f>'Plan annuel Différentes Maladie'!AW19*Population!Q19*'Page d''accueil'!$F$16</f>
        <v>0</v>
      </c>
      <c r="AG19" s="22">
        <f>MAX('Pop Cibles'!S19,'Pop Cibles'!Z19,('Pop Cibles'!AC19+'Pop Cibles'!AD19))+MAX('Pop Cibles'!T19,'Pop Cibles'!V19,'Pop Cibles'!X19,'Pop Cibles'!AA19,'Pop Cibles'!AE19)+MAX('Pop Cibles'!U19,'Pop Cibles'!W19,'Pop Cibles'!Y19,'Pop Cibles'!AB19,'Pop Cibles'!AF19)</f>
        <v>277070.67388000002</v>
      </c>
      <c r="AH19" s="22">
        <f>IF(SUM('Plan annuel Différentes Maladie'!K:K)&gt;0,0,'Plan annuel Différentes Maladie'!V19*Population!AD19)</f>
        <v>0</v>
      </c>
      <c r="AI19" s="22">
        <f>'Plan annuel Différentes Maladie'!V19*Population!AE19</f>
        <v>58791.649188999996</v>
      </c>
      <c r="AJ19" s="22">
        <f>'Plan annuel Différentes Maladie'!V19*Population!V19*'Page d''accueil'!$F$16</f>
        <v>129341.62821579998</v>
      </c>
      <c r="AK19" s="22">
        <f>'Plan annuel Différentes Maladie'!AC19*Population!X19*'Page d''accueil'!$F$15</f>
        <v>47033.319351199993</v>
      </c>
      <c r="AL19" s="22">
        <f>'Plan annuel Différentes Maladie'!AC19*Population!X19*'Page d''accueil'!$F$16</f>
        <v>103473.30257263996</v>
      </c>
      <c r="AM19" s="22">
        <f>'Plan annuel Différentes Maladie'!AJ19*Population!AE19</f>
        <v>58791.649188999996</v>
      </c>
      <c r="AN19" s="22">
        <f>'Plan annuel Différentes Maladie'!AJ19*Population!AB19</f>
        <v>0</v>
      </c>
      <c r="AO19" s="22">
        <f>'Plan annuel Différentes Maladie'!AQ19*Population!AD19</f>
        <v>37626.655480959998</v>
      </c>
      <c r="AP19" s="22">
        <f>'Plan annuel Différentes Maladie'!AQ19*Population!AE19</f>
        <v>58791.649188999996</v>
      </c>
      <c r="AQ19" s="22">
        <f>'Plan annuel Différentes Maladie'!AQ19*Population!AC19</f>
        <v>188133.27740479997</v>
      </c>
      <c r="AR19" s="22">
        <f>'Plan annuel Différentes Maladie'!AX19*Population!Y19*'Page d''accueil'!$J$14</f>
        <v>0</v>
      </c>
      <c r="AS19" s="22">
        <f>'Plan annuel Différentes Maladie'!AX19*Population!Y19*'Page d''accueil'!$J$15</f>
        <v>0</v>
      </c>
      <c r="AT19" s="22">
        <f>'Plan annuel Différentes Maladie'!AX19*Population!Y19*'Page d''accueil'!$F$15</f>
        <v>0</v>
      </c>
      <c r="AU19" s="22">
        <f>'Plan annuel Différentes Maladie'!AX19*Population!Y19*'Page d''accueil'!$F$16</f>
        <v>0</v>
      </c>
      <c r="AV19" s="22">
        <f>MAX('Pop Cibles'!AH19,'Pop Cibles'!AO19,('Pop Cibles'!AR19+'Pop Cibles'!AS19))+MAX('Pop Cibles'!AI19,'Pop Cibles'!AK19,'Pop Cibles'!AM19,'Pop Cibles'!AP19,'Pop Cibles'!AT19)+MAX('Pop Cibles'!AJ19,'Pop Cibles'!AL19,'Pop Cibles'!AN19,'Pop Cibles'!AQ19,'Pop Cibles'!AU19)</f>
        <v>284551.58207475999</v>
      </c>
      <c r="AW19" s="22">
        <f>IF(SUM('Plan annuel Différentes Maladie'!K:K)&gt;0,0,'Plan annuel Différentes Maladie'!W19*Population!AN19)</f>
        <v>0</v>
      </c>
      <c r="AX19" s="22">
        <f>'Plan annuel Différentes Maladie'!W19*Population!AO19</f>
        <v>60379.023717102988</v>
      </c>
      <c r="AY19" s="22">
        <f>'Plan annuel Différentes Maladie'!W19*Population!AF19*'Page d''accueil'!$F$16</f>
        <v>132833.85217762657</v>
      </c>
      <c r="AZ19" s="22">
        <f>'Plan annuel Différentes Maladie'!AD19*Population!AH19*'Page d''accueil'!$F$15</f>
        <v>48303.218973682386</v>
      </c>
      <c r="BA19" s="22">
        <f>'Plan annuel Différentes Maladie'!AD19*Population!AH19*'Page d''accueil'!$F$16</f>
        <v>106267.08174210123</v>
      </c>
      <c r="BB19" s="22">
        <f>'Plan annuel Différentes Maladie'!AK19*Population!AO19</f>
        <v>60379.023717102988</v>
      </c>
      <c r="BC19" s="22">
        <f>'Plan annuel Différentes Maladie'!AK19*Population!AL19</f>
        <v>0</v>
      </c>
      <c r="BD19" s="22">
        <f>'Plan annuel Différentes Maladie'!AR19*Population!AN19</f>
        <v>38642.57517894591</v>
      </c>
      <c r="BE19" s="22">
        <f>'Plan annuel Différentes Maladie'!AR19*Population!AO19</f>
        <v>60379.023717102988</v>
      </c>
      <c r="BF19" s="22">
        <f>'Plan annuel Différentes Maladie'!AR19*Population!AM19</f>
        <v>193212.87589472954</v>
      </c>
      <c r="BG19" s="22">
        <f>'Plan annuel Différentes Maladie'!AY19*Population!AI19*'Page d''accueil'!$J$14</f>
        <v>0</v>
      </c>
      <c r="BH19" s="22">
        <f>'Plan annuel Différentes Maladie'!AY19*Population!AI19*'Page d''accueil'!$J$15</f>
        <v>0</v>
      </c>
      <c r="BI19" s="22">
        <f>'Plan annuel Différentes Maladie'!AY19*Population!AI19*'Page d''accueil'!$F$15</f>
        <v>0</v>
      </c>
      <c r="BJ19" s="22">
        <f>'Plan annuel Différentes Maladie'!AY19*Population!AI19*'Page d''accueil'!$F$16</f>
        <v>0</v>
      </c>
      <c r="BK19" s="22">
        <f>MAX('Pop Cibles'!AW19,'Pop Cibles'!BD19,('Pop Cibles'!BG19+'Pop Cibles'!BH19))+MAX('Pop Cibles'!AX19,'Pop Cibles'!AZ19,'Pop Cibles'!BB19,'Pop Cibles'!BE19,'Pop Cibles'!BI19)+MAX('Pop Cibles'!AY19,'Pop Cibles'!BA19,'Pop Cibles'!BC19,'Pop Cibles'!BF19,'Pop Cibles'!BJ19)</f>
        <v>292234.47479077848</v>
      </c>
      <c r="BL19" s="22">
        <f>IF(SUM('Plan annuel Différentes Maladie'!K:K)&gt;0,0,'Plan annuel Différentes Maladie'!X19*Population!AX19)</f>
        <v>0</v>
      </c>
      <c r="BM19" s="22">
        <f>'Plan annuel Différentes Maladie'!X19*Population!AY19</f>
        <v>62009.257357464761</v>
      </c>
      <c r="BN19" s="22">
        <f>'Plan annuel Différentes Maladie'!X19*Population!AP19*'Page d''accueil'!$F$16</f>
        <v>136420.36618642247</v>
      </c>
      <c r="BO19" s="22">
        <f>'Plan annuel Différentes Maladie'!AE19*Population!AR19*'Page d''accueil'!$F$15</f>
        <v>49607.405885971806</v>
      </c>
      <c r="BP19" s="22">
        <f>'Plan annuel Différentes Maladie'!AE19*Population!AR19*'Page d''accueil'!$F$16</f>
        <v>109136.29294913796</v>
      </c>
      <c r="BQ19" s="22">
        <f>'Plan annuel Différentes Maladie'!AL19*Population!AY19</f>
        <v>62009.257357464761</v>
      </c>
      <c r="BR19" s="22">
        <f>'Plan annuel Différentes Maladie'!AL19*Population!AV19</f>
        <v>0</v>
      </c>
      <c r="BS19" s="22">
        <f>'Plan annuel Différentes Maladie'!AS19*Population!AX19</f>
        <v>39685.924708777449</v>
      </c>
      <c r="BT19" s="22">
        <f>'Plan annuel Différentes Maladie'!AS19*Population!AY19</f>
        <v>62009.257357464761</v>
      </c>
      <c r="BU19" s="22">
        <f>'Plan annuel Différentes Maladie'!AS19*Population!AW19</f>
        <v>198429.62354388722</v>
      </c>
      <c r="BV19" s="22">
        <f>'Plan annuel Différentes Maladie'!AZ19*Population!AS19*'Page d''accueil'!$J$14</f>
        <v>0</v>
      </c>
      <c r="BW19" s="22">
        <f>'Plan annuel Différentes Maladie'!AZ19*Population!AS19*'Page d''accueil'!$J$15</f>
        <v>0</v>
      </c>
      <c r="BX19" s="22">
        <f>'Plan annuel Différentes Maladie'!AZ19*Population!AS19*'Page d''accueil'!$F$15</f>
        <v>0</v>
      </c>
      <c r="BY19" s="22">
        <f>'Plan annuel Différentes Maladie'!AZ19*Population!AS19*'Page d''accueil'!$F$16</f>
        <v>0</v>
      </c>
      <c r="BZ19" s="22">
        <f>MAX('Pop Cibles'!BL19,'Pop Cibles'!BS19,('Pop Cibles'!BV19+'Pop Cibles'!BW19))+MAX('Pop Cibles'!BM19,'Pop Cibles'!BO19,'Pop Cibles'!BQ19,'Pop Cibles'!BT19,'Pop Cibles'!BX19)+MAX('Pop Cibles'!BN19,'Pop Cibles'!BP19,'Pop Cibles'!BR19,'Pop Cibles'!BU19,'Pop Cibles'!BY19)</f>
        <v>300124.80561012944</v>
      </c>
    </row>
    <row r="20" spans="1:78" s="5" customFormat="1" ht="12" customHeight="1">
      <c r="A20" s="19">
        <v>17</v>
      </c>
      <c r="B20" s="21" t="str">
        <f>'Plan annuel Différentes Maladie'!B20</f>
        <v>KANKAN</v>
      </c>
      <c r="C20" s="21" t="str">
        <f>Population!C20</f>
        <v>Kouroussa</v>
      </c>
      <c r="D20" s="22">
        <f>IF(SUM('Plan annuel Différentes Maladie'!K:K)&gt;0,0,'Plan annuel Différentes Maladie'!T20*Population!J20)</f>
        <v>0</v>
      </c>
      <c r="E20" s="22">
        <f>'Plan annuel Différentes Maladie'!T20*Population!K20</f>
        <v>80550.5</v>
      </c>
      <c r="F20" s="22">
        <f>'Plan annuel Différentes Maladie'!T20*Population!D20*'Page d''accueil'!$F$16</f>
        <v>177211.09999999998</v>
      </c>
      <c r="G20" s="22">
        <f>'Plan annuel Différentes Maladie'!AA20*Population!F20*'Page d''accueil'!$F$15</f>
        <v>64440.4</v>
      </c>
      <c r="H20" s="22">
        <f>'Plan annuel Différentes Maladie'!AA20*Population!F20*'Page d''accueil'!$F$16</f>
        <v>141768.87999999998</v>
      </c>
      <c r="I20" s="22">
        <f>'Plan annuel Différentes Maladie'!AH20*Population!K20</f>
        <v>80550.5</v>
      </c>
      <c r="J20" s="22">
        <f>'Plan annuel Différentes Maladie'!AH20*Population!H20</f>
        <v>322202</v>
      </c>
      <c r="K20" s="22">
        <f>'Plan annuel Différentes Maladie'!AO20*Population!J20</f>
        <v>0</v>
      </c>
      <c r="L20" s="22">
        <f>'Plan annuel Différentes Maladie'!AO20*Population!K20</f>
        <v>80550.5</v>
      </c>
      <c r="M20" s="22">
        <f>'Plan annuel Différentes Maladie'!AO20*Population!I20</f>
        <v>80550.5</v>
      </c>
      <c r="N20" s="22">
        <f>'Plan annuel Différentes Maladie'!AV20*Population!G20*'Page d''accueil'!$J$14</f>
        <v>5155.232</v>
      </c>
      <c r="O20" s="22">
        <f>'Plan annuel Différentes Maladie'!AV20*Population!G20*'Page d''accueil'!$J$15</f>
        <v>46397.087999999996</v>
      </c>
      <c r="P20" s="22">
        <f>'Plan annuel Différentes Maladie'!AV20*Population!G20*'Page d''accueil'!$F$15</f>
        <v>64440.4</v>
      </c>
      <c r="Q20" s="22">
        <f>'Plan annuel Différentes Maladie'!AV20*Population!G20*'Page d''accueil'!$F$16</f>
        <v>141768.87999999998</v>
      </c>
      <c r="R20" s="22">
        <f>MAX('Pop Cibles'!D20,'Pop Cibles'!K20,('Pop Cibles'!N20+'Pop Cibles'!O20))+MAX('Pop Cibles'!E20,'Pop Cibles'!G20,'Pop Cibles'!I20,'Pop Cibles'!L20,'Pop Cibles'!P20)+MAX('Pop Cibles'!F20,'Pop Cibles'!H20,'Pop Cibles'!J20,'Pop Cibles'!M20,'Pop Cibles'!Q20)</f>
        <v>454304.82</v>
      </c>
      <c r="S20" s="22">
        <f>IF(SUM('Plan annuel Différentes Maladie'!K:K)&gt;0,0,'Plan annuel Différentes Maladie'!U20*Population!T20)</f>
        <v>0</v>
      </c>
      <c r="T20" s="22">
        <f>'Plan annuel Différentes Maladie'!U20*Population!U20</f>
        <v>82725.363499999992</v>
      </c>
      <c r="U20" s="22">
        <f>'Plan annuel Différentes Maladie'!U20*Population!L20*'Page d''accueil'!$F$16</f>
        <v>181995.79969999997</v>
      </c>
      <c r="V20" s="22">
        <f>'Plan annuel Différentes Maladie'!AB20*Population!N20*'Page d''accueil'!$F$15</f>
        <v>66180.290800000002</v>
      </c>
      <c r="W20" s="22">
        <f>'Plan annuel Différentes Maladie'!AB20*Population!N20*'Page d''accueil'!$F$16</f>
        <v>145596.63975999999</v>
      </c>
      <c r="X20" s="22">
        <f>'Plan annuel Différentes Maladie'!AI20*Population!U20</f>
        <v>0</v>
      </c>
      <c r="Y20" s="22">
        <f>'Plan annuel Différentes Maladie'!AI20*Population!R20</f>
        <v>0</v>
      </c>
      <c r="Z20" s="22">
        <f>'Plan annuel Différentes Maladie'!AP20*Population!T20</f>
        <v>52944.232639999995</v>
      </c>
      <c r="AA20" s="22">
        <f>'Plan annuel Différentes Maladie'!AP20*Population!U20</f>
        <v>82725.363499999992</v>
      </c>
      <c r="AB20" s="22">
        <f>'Plan annuel Différentes Maladie'!AP20*Population!S20</f>
        <v>82725.363499999992</v>
      </c>
      <c r="AC20" s="22">
        <f>'Plan annuel Différentes Maladie'!AW20*Population!Q20*'Page d''accueil'!$J$14</f>
        <v>5294.423264</v>
      </c>
      <c r="AD20" s="22">
        <f>'Plan annuel Différentes Maladie'!AW20*Population!Q20*'Page d''accueil'!$J$15</f>
        <v>47649.809375999997</v>
      </c>
      <c r="AE20" s="22">
        <f>'Plan annuel Différentes Maladie'!AW20*Population!Q20*'Page d''accueil'!$F$15</f>
        <v>66180.290800000002</v>
      </c>
      <c r="AF20" s="22">
        <f>'Plan annuel Différentes Maladie'!AW20*Population!Q20*'Page d''accueil'!$F$16</f>
        <v>145596.63975999999</v>
      </c>
      <c r="AG20" s="22">
        <f>MAX('Pop Cibles'!S20,'Pop Cibles'!Z20,('Pop Cibles'!AC20+'Pop Cibles'!AD20))+MAX('Pop Cibles'!T20,'Pop Cibles'!V20,'Pop Cibles'!X20,'Pop Cibles'!AA20,'Pop Cibles'!AE20)+MAX('Pop Cibles'!U20,'Pop Cibles'!W20,'Pop Cibles'!Y20,'Pop Cibles'!AB20,'Pop Cibles'!AF20)</f>
        <v>317665.39583999995</v>
      </c>
      <c r="AH20" s="22">
        <f>IF(SUM('Plan annuel Différentes Maladie'!K:K)&gt;0,0,'Plan annuel Différentes Maladie'!V20*Population!AD20)</f>
        <v>0</v>
      </c>
      <c r="AI20" s="22">
        <f>'Plan annuel Différentes Maladie'!V20*Population!AE20</f>
        <v>84958.948314499983</v>
      </c>
      <c r="AJ20" s="22">
        <f>'Plan annuel Différentes Maladie'!V20*Population!V20*'Page d''accueil'!$F$16</f>
        <v>186909.68629189994</v>
      </c>
      <c r="AK20" s="22">
        <f>'Plan annuel Différentes Maladie'!AC20*Population!X20*'Page d''accueil'!$F$15</f>
        <v>67967.158651599995</v>
      </c>
      <c r="AL20" s="22">
        <f>'Plan annuel Différentes Maladie'!AC20*Population!X20*'Page d''accueil'!$F$16</f>
        <v>149527.74903351997</v>
      </c>
      <c r="AM20" s="22">
        <f>'Plan annuel Différentes Maladie'!AJ20*Population!AE20</f>
        <v>84958.948314499983</v>
      </c>
      <c r="AN20" s="22">
        <f>'Plan annuel Différentes Maladie'!AJ20*Population!AB20</f>
        <v>339835.79325799993</v>
      </c>
      <c r="AO20" s="22">
        <f>'Plan annuel Différentes Maladie'!AQ20*Population!AD20</f>
        <v>54373.726921279987</v>
      </c>
      <c r="AP20" s="22">
        <f>'Plan annuel Différentes Maladie'!AQ20*Population!AE20</f>
        <v>84958.948314499983</v>
      </c>
      <c r="AQ20" s="22">
        <f>'Plan annuel Différentes Maladie'!AQ20*Population!AC20</f>
        <v>84958.948314499983</v>
      </c>
      <c r="AR20" s="22">
        <f>'Plan annuel Différentes Maladie'!AX20*Population!Y20*'Page d''accueil'!$J$14</f>
        <v>5437.3726921279995</v>
      </c>
      <c r="AS20" s="22">
        <f>'Plan annuel Différentes Maladie'!AX20*Population!Y20*'Page d''accueil'!$J$15</f>
        <v>48936.354229151992</v>
      </c>
      <c r="AT20" s="22">
        <f>'Plan annuel Différentes Maladie'!AX20*Population!Y20*'Page d''accueil'!$F$15</f>
        <v>67967.158651599995</v>
      </c>
      <c r="AU20" s="22">
        <f>'Plan annuel Différentes Maladie'!AX20*Population!Y20*'Page d''accueil'!$F$16</f>
        <v>149527.74903351997</v>
      </c>
      <c r="AV20" s="22">
        <f>MAX('Pop Cibles'!AH20,'Pop Cibles'!AO20,('Pop Cibles'!AR20+'Pop Cibles'!AS20))+MAX('Pop Cibles'!AI20,'Pop Cibles'!AK20,'Pop Cibles'!AM20,'Pop Cibles'!AP20,'Pop Cibles'!AT20)+MAX('Pop Cibles'!AJ20,'Pop Cibles'!AL20,'Pop Cibles'!AN20,'Pop Cibles'!AQ20,'Pop Cibles'!AU20)</f>
        <v>479168.46849377989</v>
      </c>
      <c r="AW20" s="22">
        <f>IF(SUM('Plan annuel Différentes Maladie'!K:K)&gt;0,0,'Plan annuel Différentes Maladie'!W20*Population!AN20)</f>
        <v>0</v>
      </c>
      <c r="AX20" s="22">
        <f>'Plan annuel Différentes Maladie'!W20*Population!AO20</f>
        <v>87252.839918991478</v>
      </c>
      <c r="AY20" s="22">
        <f>'Plan annuel Différentes Maladie'!W20*Population!AF20*'Page d''accueil'!$F$16</f>
        <v>191956.24782178123</v>
      </c>
      <c r="AZ20" s="22">
        <f>'Plan annuel Différentes Maladie'!AD20*Population!AH20*'Page d''accueil'!$F$15</f>
        <v>69802.271935193188</v>
      </c>
      <c r="BA20" s="22">
        <f>'Plan annuel Différentes Maladie'!AD20*Population!AH20*'Page d''accueil'!$F$16</f>
        <v>153564.998257425</v>
      </c>
      <c r="BB20" s="22">
        <f>'Plan annuel Différentes Maladie'!AK20*Population!AO20</f>
        <v>0</v>
      </c>
      <c r="BC20" s="22">
        <f>'Plan annuel Différentes Maladie'!AK20*Population!AL20</f>
        <v>0</v>
      </c>
      <c r="BD20" s="22">
        <f>'Plan annuel Différentes Maladie'!AR20*Population!AN20</f>
        <v>55841.817548154548</v>
      </c>
      <c r="BE20" s="22">
        <f>'Plan annuel Différentes Maladie'!AR20*Population!AO20</f>
        <v>87252.839918991478</v>
      </c>
      <c r="BF20" s="22">
        <f>'Plan annuel Différentes Maladie'!AR20*Population!AM20</f>
        <v>87252.839918991478</v>
      </c>
      <c r="BG20" s="22">
        <f>'Plan annuel Différentes Maladie'!AY20*Population!AI20*'Page d''accueil'!$J$14</f>
        <v>5584.181754815455</v>
      </c>
      <c r="BH20" s="22">
        <f>'Plan annuel Différentes Maladie'!AY20*Population!AI20*'Page d''accueil'!$J$15</f>
        <v>50257.635793339097</v>
      </c>
      <c r="BI20" s="22">
        <f>'Plan annuel Différentes Maladie'!AY20*Population!AI20*'Page d''accueil'!$F$15</f>
        <v>69802.271935193188</v>
      </c>
      <c r="BJ20" s="22">
        <f>'Plan annuel Différentes Maladie'!AY20*Population!AI20*'Page d''accueil'!$F$16</f>
        <v>153564.998257425</v>
      </c>
      <c r="BK20" s="22">
        <f>MAX('Pop Cibles'!AW20,'Pop Cibles'!BD20,('Pop Cibles'!BG20+'Pop Cibles'!BH20))+MAX('Pop Cibles'!AX20,'Pop Cibles'!AZ20,'Pop Cibles'!BB20,'Pop Cibles'!BE20,'Pop Cibles'!BI20)+MAX('Pop Cibles'!AY20,'Pop Cibles'!BA20,'Pop Cibles'!BC20,'Pop Cibles'!BF20,'Pop Cibles'!BJ20)</f>
        <v>335050.90528892726</v>
      </c>
      <c r="BL20" s="22">
        <f>IF(SUM('Plan annuel Différentes Maladie'!K:K)&gt;0,0,'Plan annuel Différentes Maladie'!X20*Population!AX20)</f>
        <v>0</v>
      </c>
      <c r="BM20" s="22">
        <f>'Plan annuel Différentes Maladie'!X20*Population!AY20</f>
        <v>89608.666596804236</v>
      </c>
      <c r="BN20" s="22">
        <f>'Plan annuel Différentes Maladie'!X20*Population!AP20*'Page d''accueil'!$F$16</f>
        <v>197139.06651296929</v>
      </c>
      <c r="BO20" s="22">
        <f>'Plan annuel Différentes Maladie'!AE20*Population!AR20*'Page d''accueil'!$F$15</f>
        <v>71686.933277443401</v>
      </c>
      <c r="BP20" s="22">
        <f>'Plan annuel Différentes Maladie'!AE20*Population!AR20*'Page d''accueil'!$F$16</f>
        <v>157711.25321037546</v>
      </c>
      <c r="BQ20" s="22">
        <f>'Plan annuel Différentes Maladie'!AL20*Population!AY20</f>
        <v>89608.666596804236</v>
      </c>
      <c r="BR20" s="22">
        <f>'Plan annuel Différentes Maladie'!AL20*Population!AV20</f>
        <v>358434.66638721694</v>
      </c>
      <c r="BS20" s="22">
        <f>'Plan annuel Différentes Maladie'!AS20*Population!AX20</f>
        <v>57349.546621954709</v>
      </c>
      <c r="BT20" s="22">
        <f>'Plan annuel Différentes Maladie'!AS20*Population!AY20</f>
        <v>89608.666596804236</v>
      </c>
      <c r="BU20" s="22">
        <f>'Plan annuel Différentes Maladie'!AS20*Population!AW20</f>
        <v>89608.666596804236</v>
      </c>
      <c r="BV20" s="22">
        <f>'Plan annuel Différentes Maladie'!AZ20*Population!AS20*'Page d''accueil'!$J$14</f>
        <v>5734.9546621954723</v>
      </c>
      <c r="BW20" s="22">
        <f>'Plan annuel Différentes Maladie'!AZ20*Population!AS20*'Page d''accueil'!$J$15</f>
        <v>51614.591959759244</v>
      </c>
      <c r="BX20" s="22">
        <f>'Plan annuel Différentes Maladie'!AZ20*Population!AS20*'Page d''accueil'!$F$15</f>
        <v>71686.933277443401</v>
      </c>
      <c r="BY20" s="22">
        <f>'Plan annuel Différentes Maladie'!AZ20*Population!AS20*'Page d''accueil'!$F$16</f>
        <v>157711.25321037546</v>
      </c>
      <c r="BZ20" s="22">
        <f>MAX('Pop Cibles'!BL20,'Pop Cibles'!BS20,('Pop Cibles'!BV20+'Pop Cibles'!BW20))+MAX('Pop Cibles'!BM20,'Pop Cibles'!BO20,'Pop Cibles'!BQ20,'Pop Cibles'!BT20,'Pop Cibles'!BX20)+MAX('Pop Cibles'!BN20,'Pop Cibles'!BP20,'Pop Cibles'!BR20,'Pop Cibles'!BU20,'Pop Cibles'!BY20)</f>
        <v>505392.87960597593</v>
      </c>
    </row>
    <row r="21" spans="1:78" s="5" customFormat="1" ht="12" customHeight="1">
      <c r="A21" s="19">
        <v>18</v>
      </c>
      <c r="B21" s="21" t="str">
        <f>'Plan annuel Différentes Maladie'!B21</f>
        <v>KANKAN</v>
      </c>
      <c r="C21" s="21" t="str">
        <f>Population!C21</f>
        <v>Mandiana</v>
      </c>
      <c r="D21" s="22">
        <f>IF(SUM('Plan annuel Différentes Maladie'!K:K)&gt;0,0,'Plan annuel Différentes Maladie'!T21*Population!J21)</f>
        <v>0</v>
      </c>
      <c r="E21" s="22">
        <f>'Plan annuel Différentes Maladie'!T21*Population!K21</f>
        <v>96789.25</v>
      </c>
      <c r="F21" s="22">
        <f>'Plan annuel Différentes Maladie'!T21*Population!D21*'Page d''accueil'!$F$16</f>
        <v>212936.34999999998</v>
      </c>
      <c r="G21" s="22">
        <f>'Plan annuel Différentes Maladie'!AA21*Population!F21*'Page d''accueil'!$F$15</f>
        <v>77431.400000000009</v>
      </c>
      <c r="H21" s="22">
        <f>'Plan annuel Différentes Maladie'!AA21*Population!F21*'Page d''accueil'!$F$16</f>
        <v>170349.08</v>
      </c>
      <c r="I21" s="22">
        <f>'Plan annuel Différentes Maladie'!AH21*Population!K21</f>
        <v>0</v>
      </c>
      <c r="J21" s="22">
        <f>'Plan annuel Différentes Maladie'!AH21*Population!H21</f>
        <v>0</v>
      </c>
      <c r="K21" s="22">
        <f>'Plan annuel Différentes Maladie'!AO21*Population!J21</f>
        <v>158734.37</v>
      </c>
      <c r="L21" s="22">
        <f>'Plan annuel Différentes Maladie'!AO21*Population!K21</f>
        <v>96789.25</v>
      </c>
      <c r="M21" s="22">
        <f>'Plan annuel Différentes Maladie'!AO21*Population!I21</f>
        <v>0</v>
      </c>
      <c r="N21" s="22">
        <f>'Plan annuel Différentes Maladie'!AV21*Population!G21*'Page d''accueil'!$J$14</f>
        <v>0</v>
      </c>
      <c r="O21" s="22">
        <f>'Plan annuel Différentes Maladie'!AV21*Population!G21*'Page d''accueil'!$J$15</f>
        <v>0</v>
      </c>
      <c r="P21" s="22">
        <f>'Plan annuel Différentes Maladie'!AV21*Population!G21*'Page d''accueil'!$F$15</f>
        <v>0</v>
      </c>
      <c r="Q21" s="22">
        <f>'Plan annuel Différentes Maladie'!AV21*Population!G21*'Page d''accueil'!$F$16</f>
        <v>0</v>
      </c>
      <c r="R21" s="22">
        <f>MAX('Pop Cibles'!D21,'Pop Cibles'!K21,('Pop Cibles'!N21+'Pop Cibles'!O21))+MAX('Pop Cibles'!E21,'Pop Cibles'!G21,'Pop Cibles'!I21,'Pop Cibles'!L21,'Pop Cibles'!P21)+MAX('Pop Cibles'!F21,'Pop Cibles'!H21,'Pop Cibles'!J21,'Pop Cibles'!M21,'Pop Cibles'!Q21)</f>
        <v>468459.97</v>
      </c>
      <c r="S21" s="22">
        <f>IF(SUM('Plan annuel Différentes Maladie'!K:K)&gt;0,0,'Plan annuel Différentes Maladie'!U21*Population!T21)</f>
        <v>0</v>
      </c>
      <c r="T21" s="22">
        <f>'Plan annuel Différentes Maladie'!U21*Population!U21</f>
        <v>99402.559749999986</v>
      </c>
      <c r="U21" s="22">
        <f>'Plan annuel Différentes Maladie'!U21*Population!L21*'Page d''accueil'!$F$16</f>
        <v>218685.63144999993</v>
      </c>
      <c r="V21" s="22">
        <f>'Plan annuel Différentes Maladie'!AB21*Population!N21*'Page d''accueil'!$F$15</f>
        <v>79522.0478</v>
      </c>
      <c r="W21" s="22">
        <f>'Plan annuel Différentes Maladie'!AB21*Population!N21*'Page d''accueil'!$F$16</f>
        <v>174948.50515999997</v>
      </c>
      <c r="X21" s="22">
        <f>'Plan annuel Différentes Maladie'!AI21*Population!U21</f>
        <v>0</v>
      </c>
      <c r="Y21" s="22">
        <f>'Plan annuel Différentes Maladie'!AI21*Population!R21</f>
        <v>0</v>
      </c>
      <c r="Z21" s="22">
        <f>'Plan annuel Différentes Maladie'!AP21*Population!T21</f>
        <v>63617.638239999993</v>
      </c>
      <c r="AA21" s="22">
        <f>'Plan annuel Différentes Maladie'!AP21*Population!U21</f>
        <v>99402.559749999986</v>
      </c>
      <c r="AB21" s="22">
        <f>'Plan annuel Différentes Maladie'!AP21*Population!S21</f>
        <v>0</v>
      </c>
      <c r="AC21" s="22">
        <f>'Plan annuel Différentes Maladie'!AW21*Population!Q21*'Page d''accueil'!$J$14</f>
        <v>0</v>
      </c>
      <c r="AD21" s="22">
        <f>'Plan annuel Différentes Maladie'!AW21*Population!Q21*'Page d''accueil'!$J$15</f>
        <v>0</v>
      </c>
      <c r="AE21" s="22">
        <f>'Plan annuel Différentes Maladie'!AW21*Population!Q21*'Page d''accueil'!$F$15</f>
        <v>0</v>
      </c>
      <c r="AF21" s="22">
        <f>'Plan annuel Différentes Maladie'!AW21*Population!Q21*'Page d''accueil'!$F$16</f>
        <v>0</v>
      </c>
      <c r="AG21" s="22">
        <f>MAX('Pop Cibles'!S21,'Pop Cibles'!Z21,('Pop Cibles'!AC21+'Pop Cibles'!AD21))+MAX('Pop Cibles'!T21,'Pop Cibles'!V21,'Pop Cibles'!X21,'Pop Cibles'!AA21,'Pop Cibles'!AE21)+MAX('Pop Cibles'!U21,'Pop Cibles'!W21,'Pop Cibles'!Y21,'Pop Cibles'!AB21,'Pop Cibles'!AF21)</f>
        <v>381705.82943999988</v>
      </c>
      <c r="AH21" s="22">
        <f>IF(SUM('Plan annuel Différentes Maladie'!K:K)&gt;0,0,'Plan annuel Différentes Maladie'!V21*Population!AD21)</f>
        <v>0</v>
      </c>
      <c r="AI21" s="22">
        <f>'Plan annuel Différentes Maladie'!V21*Population!AE21</f>
        <v>102086.42886324998</v>
      </c>
      <c r="AJ21" s="22">
        <f>'Plan annuel Différentes Maladie'!V21*Population!V21*'Page d''accueil'!$F$16</f>
        <v>224590.14349914994</v>
      </c>
      <c r="AK21" s="22">
        <f>'Plan annuel Différentes Maladie'!AC21*Population!X21*'Page d''accueil'!$F$15</f>
        <v>81669.143090599988</v>
      </c>
      <c r="AL21" s="22">
        <f>'Plan annuel Différentes Maladie'!AC21*Population!X21*'Page d''accueil'!$F$16</f>
        <v>179672.11479931994</v>
      </c>
      <c r="AM21" s="22">
        <f>'Plan annuel Différentes Maladie'!AJ21*Population!AE21</f>
        <v>102086.42886324998</v>
      </c>
      <c r="AN21" s="22">
        <f>'Plan annuel Différentes Maladie'!AJ21*Population!AB21</f>
        <v>0</v>
      </c>
      <c r="AO21" s="22">
        <f>'Plan annuel Différentes Maladie'!AQ21*Population!AD21</f>
        <v>65335.314472479986</v>
      </c>
      <c r="AP21" s="22">
        <f>'Plan annuel Différentes Maladie'!AQ21*Population!AE21</f>
        <v>102086.42886324998</v>
      </c>
      <c r="AQ21" s="22">
        <f>'Plan annuel Différentes Maladie'!AQ21*Population!AC21</f>
        <v>0</v>
      </c>
      <c r="AR21" s="22">
        <f>'Plan annuel Différentes Maladie'!AX21*Population!Y21*'Page d''accueil'!$J$14</f>
        <v>0</v>
      </c>
      <c r="AS21" s="22">
        <f>'Plan annuel Différentes Maladie'!AX21*Population!Y21*'Page d''accueil'!$J$15</f>
        <v>0</v>
      </c>
      <c r="AT21" s="22">
        <f>'Plan annuel Différentes Maladie'!AX21*Population!Y21*'Page d''accueil'!$F$15</f>
        <v>0</v>
      </c>
      <c r="AU21" s="22">
        <f>'Plan annuel Différentes Maladie'!AX21*Population!Y21*'Page d''accueil'!$F$16</f>
        <v>0</v>
      </c>
      <c r="AV21" s="22">
        <f>MAX('Pop Cibles'!AH21,'Pop Cibles'!AO21,('Pop Cibles'!AR21+'Pop Cibles'!AS21))+MAX('Pop Cibles'!AI21,'Pop Cibles'!AK21,'Pop Cibles'!AM21,'Pop Cibles'!AP21,'Pop Cibles'!AT21)+MAX('Pop Cibles'!AJ21,'Pop Cibles'!AL21,'Pop Cibles'!AN21,'Pop Cibles'!AQ21,'Pop Cibles'!AU21)</f>
        <v>392011.88683487987</v>
      </c>
      <c r="AW21" s="22">
        <f>IF(SUM('Plan annuel Différentes Maladie'!K:K)&gt;0,0,'Plan annuel Différentes Maladie'!W21*Population!AN21)</f>
        <v>0</v>
      </c>
      <c r="AX21" s="22">
        <f>'Plan annuel Différentes Maladie'!W21*Population!AO21</f>
        <v>104842.76244255772</v>
      </c>
      <c r="AY21" s="22">
        <f>'Plan annuel Différentes Maladie'!W21*Population!AF21*'Page d''accueil'!$F$16</f>
        <v>230654.07737362696</v>
      </c>
      <c r="AZ21" s="22">
        <f>'Plan annuel Différentes Maladie'!AD21*Population!AH21*'Page d''accueil'!$F$15</f>
        <v>83874.209954046179</v>
      </c>
      <c r="BA21" s="22">
        <f>'Plan annuel Différentes Maladie'!AD21*Population!AH21*'Page d''accueil'!$F$16</f>
        <v>184523.26189890158</v>
      </c>
      <c r="BB21" s="22">
        <f>'Plan annuel Différentes Maladie'!AK21*Population!AO21</f>
        <v>0</v>
      </c>
      <c r="BC21" s="22">
        <f>'Plan annuel Différentes Maladie'!AK21*Population!AL21</f>
        <v>0</v>
      </c>
      <c r="BD21" s="22">
        <f>'Plan annuel Différentes Maladie'!AR21*Population!AN21</f>
        <v>67099.367963236946</v>
      </c>
      <c r="BE21" s="22">
        <f>'Plan annuel Différentes Maladie'!AR21*Population!AO21</f>
        <v>104842.76244255772</v>
      </c>
      <c r="BF21" s="22">
        <f>'Plan annuel Différentes Maladie'!AR21*Population!AM21</f>
        <v>0</v>
      </c>
      <c r="BG21" s="22">
        <f>'Plan annuel Différentes Maladie'!AY21*Population!AI21*'Page d''accueil'!$J$14</f>
        <v>0</v>
      </c>
      <c r="BH21" s="22">
        <f>'Plan annuel Différentes Maladie'!AY21*Population!AI21*'Page d''accueil'!$J$15</f>
        <v>0</v>
      </c>
      <c r="BI21" s="22">
        <f>'Plan annuel Différentes Maladie'!AY21*Population!AI21*'Page d''accueil'!$F$15</f>
        <v>0</v>
      </c>
      <c r="BJ21" s="22">
        <f>'Plan annuel Différentes Maladie'!AY21*Population!AI21*'Page d''accueil'!$F$16</f>
        <v>0</v>
      </c>
      <c r="BK21" s="22">
        <f>MAX('Pop Cibles'!AW21,'Pop Cibles'!BD21,('Pop Cibles'!BG21+'Pop Cibles'!BH21))+MAX('Pop Cibles'!AX21,'Pop Cibles'!AZ21,'Pop Cibles'!BB21,'Pop Cibles'!BE21,'Pop Cibles'!BI21)+MAX('Pop Cibles'!AY21,'Pop Cibles'!BA21,'Pop Cibles'!BC21,'Pop Cibles'!BF21,'Pop Cibles'!BJ21)</f>
        <v>402596.20777942159</v>
      </c>
      <c r="BL21" s="22">
        <f>IF(SUM('Plan annuel Différentes Maladie'!K:K)&gt;0,0,'Plan annuel Différentes Maladie'!X21*Population!AX21)</f>
        <v>0</v>
      </c>
      <c r="BM21" s="22">
        <f>'Plan annuel Différentes Maladie'!X21*Population!AY21</f>
        <v>107673.51702850677</v>
      </c>
      <c r="BN21" s="22">
        <f>'Plan annuel Différentes Maladie'!X21*Population!AP21*'Page d''accueil'!$F$16</f>
        <v>236881.73746271487</v>
      </c>
      <c r="BO21" s="22">
        <f>'Plan annuel Différentes Maladie'!AE21*Population!AR21*'Page d''accueil'!$F$15</f>
        <v>86138.813622805421</v>
      </c>
      <c r="BP21" s="22">
        <f>'Plan annuel Différentes Maladie'!AE21*Population!AR21*'Page d''accueil'!$F$16</f>
        <v>189505.38997017191</v>
      </c>
      <c r="BQ21" s="22">
        <f>'Plan annuel Différentes Maladie'!AL21*Population!AY21</f>
        <v>0</v>
      </c>
      <c r="BR21" s="22">
        <f>'Plan annuel Différentes Maladie'!AL21*Population!AV21</f>
        <v>0</v>
      </c>
      <c r="BS21" s="22">
        <f>'Plan annuel Différentes Maladie'!AS21*Population!AX21</f>
        <v>68911.050898244343</v>
      </c>
      <c r="BT21" s="22">
        <f>'Plan annuel Différentes Maladie'!AS21*Population!AY21</f>
        <v>107673.51702850677</v>
      </c>
      <c r="BU21" s="22">
        <f>'Plan annuel Différentes Maladie'!AS21*Population!AW21</f>
        <v>0</v>
      </c>
      <c r="BV21" s="22">
        <f>'Plan annuel Différentes Maladie'!AZ21*Population!AS21*'Page d''accueil'!$J$14</f>
        <v>0</v>
      </c>
      <c r="BW21" s="22">
        <f>'Plan annuel Différentes Maladie'!AZ21*Population!AS21*'Page d''accueil'!$J$15</f>
        <v>0</v>
      </c>
      <c r="BX21" s="22">
        <f>'Plan annuel Différentes Maladie'!AZ21*Population!AS21*'Page d''accueil'!$F$15</f>
        <v>0</v>
      </c>
      <c r="BY21" s="22">
        <f>'Plan annuel Différentes Maladie'!AZ21*Population!AS21*'Page d''accueil'!$F$16</f>
        <v>0</v>
      </c>
      <c r="BZ21" s="22">
        <f>MAX('Pop Cibles'!BL21,'Pop Cibles'!BS21,('Pop Cibles'!BV21+'Pop Cibles'!BW21))+MAX('Pop Cibles'!BM21,'Pop Cibles'!BO21,'Pop Cibles'!BQ21,'Pop Cibles'!BT21,'Pop Cibles'!BX21)+MAX('Pop Cibles'!BN21,'Pop Cibles'!BP21,'Pop Cibles'!BR21,'Pop Cibles'!BU21,'Pop Cibles'!BY21)</f>
        <v>413466.305389466</v>
      </c>
    </row>
    <row r="22" spans="1:78" s="5" customFormat="1" ht="12" customHeight="1">
      <c r="A22" s="19">
        <v>19</v>
      </c>
      <c r="B22" s="21" t="str">
        <f>'Plan annuel Différentes Maladie'!B22</f>
        <v>KANKAN</v>
      </c>
      <c r="C22" s="21" t="str">
        <f>Population!C22</f>
        <v>Siguiri</v>
      </c>
      <c r="D22" s="22">
        <f>IF(SUM('Plan annuel Différentes Maladie'!K:K)&gt;0,0,'Plan annuel Différentes Maladie'!T22*Population!J22)</f>
        <v>0</v>
      </c>
      <c r="E22" s="22">
        <f>'Plan annuel Différentes Maladie'!T22*Population!K22</f>
        <v>224165.75</v>
      </c>
      <c r="F22" s="22">
        <f>'Plan annuel Différentes Maladie'!T22*Population!D22*'Page d''accueil'!$F$16</f>
        <v>493164.64999999997</v>
      </c>
      <c r="G22" s="22">
        <f>'Plan annuel Différentes Maladie'!AA22*Population!F22*'Page d''accueil'!$F$15</f>
        <v>179332.6</v>
      </c>
      <c r="H22" s="22">
        <f>'Plan annuel Différentes Maladie'!AA22*Population!F22*'Page d''accueil'!$F$16</f>
        <v>394531.72</v>
      </c>
      <c r="I22" s="22">
        <f>'Plan annuel Différentes Maladie'!AH22*Population!K22</f>
        <v>224165.75</v>
      </c>
      <c r="J22" s="22">
        <f>'Plan annuel Différentes Maladie'!AH22*Population!H22</f>
        <v>0</v>
      </c>
      <c r="K22" s="22">
        <f>'Plan annuel Différentes Maladie'!AO22*Population!J22</f>
        <v>0</v>
      </c>
      <c r="L22" s="22">
        <f>'Plan annuel Différentes Maladie'!AO22*Population!K22</f>
        <v>0</v>
      </c>
      <c r="M22" s="22">
        <f>'Plan annuel Différentes Maladie'!AO22*Population!I22</f>
        <v>0</v>
      </c>
      <c r="N22" s="22">
        <f>'Plan annuel Différentes Maladie'!AV22*Population!G22*'Page d''accueil'!$J$14</f>
        <v>0</v>
      </c>
      <c r="O22" s="22">
        <f>'Plan annuel Différentes Maladie'!AV22*Population!G22*'Page d''accueil'!$J$15</f>
        <v>0</v>
      </c>
      <c r="P22" s="22">
        <f>'Plan annuel Différentes Maladie'!AV22*Population!G22*'Page d''accueil'!$F$15</f>
        <v>0</v>
      </c>
      <c r="Q22" s="22">
        <f>'Plan annuel Différentes Maladie'!AV22*Population!G22*'Page d''accueil'!$F$16</f>
        <v>0</v>
      </c>
      <c r="R22" s="22">
        <f>MAX('Pop Cibles'!D22,'Pop Cibles'!K22,('Pop Cibles'!N22+'Pop Cibles'!O22))+MAX('Pop Cibles'!E22,'Pop Cibles'!G22,'Pop Cibles'!I22,'Pop Cibles'!L22,'Pop Cibles'!P22)+MAX('Pop Cibles'!F22,'Pop Cibles'!H22,'Pop Cibles'!J22,'Pop Cibles'!M22,'Pop Cibles'!Q22)</f>
        <v>717330.39999999991</v>
      </c>
      <c r="S22" s="22">
        <f>IF(SUM('Plan annuel Différentes Maladie'!K:K)&gt;0,0,'Plan annuel Différentes Maladie'!U22*Population!T22)</f>
        <v>0</v>
      </c>
      <c r="T22" s="22">
        <f>'Plan annuel Différentes Maladie'!U22*Population!U22</f>
        <v>230218.22524999999</v>
      </c>
      <c r="U22" s="22">
        <f>'Plan annuel Différentes Maladie'!U22*Population!L22*'Page d''accueil'!$F$16</f>
        <v>506480.09554999991</v>
      </c>
      <c r="V22" s="22">
        <f>'Plan annuel Différentes Maladie'!AB22*Population!N22*'Page d''accueil'!$F$15</f>
        <v>184174.5802</v>
      </c>
      <c r="W22" s="22">
        <f>'Plan annuel Différentes Maladie'!AB22*Population!N22*'Page d''accueil'!$F$16</f>
        <v>405184.07643999992</v>
      </c>
      <c r="X22" s="22">
        <f>'Plan annuel Différentes Maladie'!AI22*Population!U22</f>
        <v>230218.22524999999</v>
      </c>
      <c r="Y22" s="22">
        <f>'Plan annuel Différentes Maladie'!AI22*Population!R22</f>
        <v>0</v>
      </c>
      <c r="Z22" s="22">
        <f>'Plan annuel Différentes Maladie'!AP22*Population!T22</f>
        <v>0</v>
      </c>
      <c r="AA22" s="22">
        <f>'Plan annuel Différentes Maladie'!AP22*Population!U22</f>
        <v>0</v>
      </c>
      <c r="AB22" s="22">
        <f>'Plan annuel Différentes Maladie'!AP22*Population!S22</f>
        <v>0</v>
      </c>
      <c r="AC22" s="22">
        <f>'Plan annuel Différentes Maladie'!AW22*Population!Q22*'Page d''accueil'!$J$14</f>
        <v>0</v>
      </c>
      <c r="AD22" s="22">
        <f>'Plan annuel Différentes Maladie'!AW22*Population!Q22*'Page d''accueil'!$J$15</f>
        <v>0</v>
      </c>
      <c r="AE22" s="22">
        <f>'Plan annuel Différentes Maladie'!AW22*Population!Q22*'Page d''accueil'!$F$15</f>
        <v>0</v>
      </c>
      <c r="AF22" s="22">
        <f>'Plan annuel Différentes Maladie'!AW22*Population!Q22*'Page d''accueil'!$F$16</f>
        <v>0</v>
      </c>
      <c r="AG22" s="22">
        <f>MAX('Pop Cibles'!S22,'Pop Cibles'!Z22,('Pop Cibles'!AC22+'Pop Cibles'!AD22))+MAX('Pop Cibles'!T22,'Pop Cibles'!V22,'Pop Cibles'!X22,'Pop Cibles'!AA22,'Pop Cibles'!AE22)+MAX('Pop Cibles'!U22,'Pop Cibles'!W22,'Pop Cibles'!Y22,'Pop Cibles'!AB22,'Pop Cibles'!AF22)</f>
        <v>736698.32079999987</v>
      </c>
      <c r="AH22" s="22">
        <f>IF(SUM('Plan annuel Différentes Maladie'!K:K)&gt;0,0,'Plan annuel Différentes Maladie'!V22*Population!AD22)</f>
        <v>0</v>
      </c>
      <c r="AI22" s="22">
        <f>'Plan annuel Différentes Maladie'!V22*Population!AE22</f>
        <v>236434.11733174996</v>
      </c>
      <c r="AJ22" s="22">
        <f>'Plan annuel Différentes Maladie'!V22*Population!V22*'Page d''accueil'!$F$16</f>
        <v>520155.05812984984</v>
      </c>
      <c r="AK22" s="22">
        <f>'Plan annuel Différentes Maladie'!AC22*Population!X22*'Page d''accueil'!$F$15</f>
        <v>189147.29386539999</v>
      </c>
      <c r="AL22" s="22">
        <f>'Plan annuel Différentes Maladie'!AC22*Population!X22*'Page d''accueil'!$F$16</f>
        <v>416124.04650387994</v>
      </c>
      <c r="AM22" s="22">
        <f>'Plan annuel Différentes Maladie'!AJ22*Population!AE22</f>
        <v>236434.11733174996</v>
      </c>
      <c r="AN22" s="22">
        <f>'Plan annuel Différentes Maladie'!AJ22*Population!AB22</f>
        <v>0</v>
      </c>
      <c r="AO22" s="22">
        <f>'Plan annuel Différentes Maladie'!AQ22*Population!AD22</f>
        <v>0</v>
      </c>
      <c r="AP22" s="22">
        <f>'Plan annuel Différentes Maladie'!AQ22*Population!AE22</f>
        <v>0</v>
      </c>
      <c r="AQ22" s="22">
        <f>'Plan annuel Différentes Maladie'!AQ22*Population!AC22</f>
        <v>0</v>
      </c>
      <c r="AR22" s="22">
        <f>'Plan annuel Différentes Maladie'!AX22*Population!Y22*'Page d''accueil'!$J$14</f>
        <v>0</v>
      </c>
      <c r="AS22" s="22">
        <f>'Plan annuel Différentes Maladie'!AX22*Population!Y22*'Page d''accueil'!$J$15</f>
        <v>0</v>
      </c>
      <c r="AT22" s="22">
        <f>'Plan annuel Différentes Maladie'!AX22*Population!Y22*'Page d''accueil'!$F$15</f>
        <v>0</v>
      </c>
      <c r="AU22" s="22">
        <f>'Plan annuel Différentes Maladie'!AX22*Population!Y22*'Page d''accueil'!$F$16</f>
        <v>0</v>
      </c>
      <c r="AV22" s="22">
        <f>MAX('Pop Cibles'!AH22,'Pop Cibles'!AO22,('Pop Cibles'!AR22+'Pop Cibles'!AS22))+MAX('Pop Cibles'!AI22,'Pop Cibles'!AK22,'Pop Cibles'!AM22,'Pop Cibles'!AP22,'Pop Cibles'!AT22)+MAX('Pop Cibles'!AJ22,'Pop Cibles'!AL22,'Pop Cibles'!AN22,'Pop Cibles'!AQ22,'Pop Cibles'!AU22)</f>
        <v>756589.17546159984</v>
      </c>
      <c r="AW22" s="22">
        <f>IF(SUM('Plan annuel Différentes Maladie'!K:K)&gt;0,0,'Plan annuel Différentes Maladie'!W22*Population!AN22)</f>
        <v>0</v>
      </c>
      <c r="AX22" s="22">
        <f>'Plan annuel Différentes Maladie'!W22*Population!AO22</f>
        <v>242817.8384997072</v>
      </c>
      <c r="AY22" s="22">
        <f>'Plan annuel Différentes Maladie'!W22*Population!AF22*'Page d''accueil'!$F$16</f>
        <v>534199.2446993558</v>
      </c>
      <c r="AZ22" s="22">
        <f>'Plan annuel Différentes Maladie'!AD22*Population!AH22*'Page d''accueil'!$F$15</f>
        <v>194254.27079976577</v>
      </c>
      <c r="BA22" s="22">
        <f>'Plan annuel Différentes Maladie'!AD22*Population!AH22*'Page d''accueil'!$F$16</f>
        <v>427359.39575948467</v>
      </c>
      <c r="BB22" s="22">
        <f>'Plan annuel Différentes Maladie'!AK22*Population!AO22</f>
        <v>242817.8384997072</v>
      </c>
      <c r="BC22" s="22">
        <f>'Plan annuel Différentes Maladie'!AK22*Population!AL22</f>
        <v>0</v>
      </c>
      <c r="BD22" s="22">
        <f>'Plan annuel Différentes Maladie'!AR22*Population!AN22</f>
        <v>0</v>
      </c>
      <c r="BE22" s="22">
        <f>'Plan annuel Différentes Maladie'!AR22*Population!AO22</f>
        <v>0</v>
      </c>
      <c r="BF22" s="22">
        <f>'Plan annuel Différentes Maladie'!AR22*Population!AM22</f>
        <v>0</v>
      </c>
      <c r="BG22" s="22">
        <f>'Plan annuel Différentes Maladie'!AY22*Population!AI22*'Page d''accueil'!$J$14</f>
        <v>0</v>
      </c>
      <c r="BH22" s="22">
        <f>'Plan annuel Différentes Maladie'!AY22*Population!AI22*'Page d''accueil'!$J$15</f>
        <v>0</v>
      </c>
      <c r="BI22" s="22">
        <f>'Plan annuel Différentes Maladie'!AY22*Population!AI22*'Page d''accueil'!$F$15</f>
        <v>0</v>
      </c>
      <c r="BJ22" s="22">
        <f>'Plan annuel Différentes Maladie'!AY22*Population!AI22*'Page d''accueil'!$F$16</f>
        <v>0</v>
      </c>
      <c r="BK22" s="22">
        <f>MAX('Pop Cibles'!AW22,'Pop Cibles'!BD22,('Pop Cibles'!BG22+'Pop Cibles'!BH22))+MAX('Pop Cibles'!AX22,'Pop Cibles'!AZ22,'Pop Cibles'!BB22,'Pop Cibles'!BE22,'Pop Cibles'!BI22)+MAX('Pop Cibles'!AY22,'Pop Cibles'!BA22,'Pop Cibles'!BC22,'Pop Cibles'!BF22,'Pop Cibles'!BJ22)</f>
        <v>777017.08319906297</v>
      </c>
      <c r="BL22" s="22">
        <f>IF(SUM('Plan annuel Différentes Maladie'!K:K)&gt;0,0,'Plan annuel Différentes Maladie'!X22*Population!AX22)</f>
        <v>0</v>
      </c>
      <c r="BM22" s="22">
        <f>'Plan annuel Différentes Maladie'!X22*Population!AY22</f>
        <v>249373.92013919927</v>
      </c>
      <c r="BN22" s="22">
        <f>'Plan annuel Différentes Maladie'!X22*Population!AP22*'Page d''accueil'!$F$16</f>
        <v>548622.62430623837</v>
      </c>
      <c r="BO22" s="22">
        <f>'Plan annuel Différentes Maladie'!AE22*Population!AR22*'Page d''accueil'!$F$15</f>
        <v>199499.13611135943</v>
      </c>
      <c r="BP22" s="22">
        <f>'Plan annuel Différentes Maladie'!AE22*Population!AR22*'Page d''accueil'!$F$16</f>
        <v>438898.09944499069</v>
      </c>
      <c r="BQ22" s="22">
        <f>'Plan annuel Différentes Maladie'!AL22*Population!AY22</f>
        <v>249373.92013919927</v>
      </c>
      <c r="BR22" s="22">
        <f>'Plan annuel Différentes Maladie'!AL22*Population!AV22</f>
        <v>0</v>
      </c>
      <c r="BS22" s="22">
        <f>'Plan annuel Différentes Maladie'!AS22*Population!AX22</f>
        <v>0</v>
      </c>
      <c r="BT22" s="22">
        <f>'Plan annuel Différentes Maladie'!AS22*Population!AY22</f>
        <v>0</v>
      </c>
      <c r="BU22" s="22">
        <f>'Plan annuel Différentes Maladie'!AS22*Population!AW22</f>
        <v>0</v>
      </c>
      <c r="BV22" s="22">
        <f>'Plan annuel Différentes Maladie'!AZ22*Population!AS22*'Page d''accueil'!$J$14</f>
        <v>0</v>
      </c>
      <c r="BW22" s="22">
        <f>'Plan annuel Différentes Maladie'!AZ22*Population!AS22*'Page d''accueil'!$J$15</f>
        <v>0</v>
      </c>
      <c r="BX22" s="22">
        <f>'Plan annuel Différentes Maladie'!AZ22*Population!AS22*'Page d''accueil'!$F$15</f>
        <v>0</v>
      </c>
      <c r="BY22" s="22">
        <f>'Plan annuel Différentes Maladie'!AZ22*Population!AS22*'Page d''accueil'!$F$16</f>
        <v>0</v>
      </c>
      <c r="BZ22" s="22">
        <f>MAX('Pop Cibles'!BL22,'Pop Cibles'!BS22,('Pop Cibles'!BV22+'Pop Cibles'!BW22))+MAX('Pop Cibles'!BM22,'Pop Cibles'!BO22,'Pop Cibles'!BQ22,'Pop Cibles'!BT22,'Pop Cibles'!BX22)+MAX('Pop Cibles'!BN22,'Pop Cibles'!BP22,'Pop Cibles'!BR22,'Pop Cibles'!BU22,'Pop Cibles'!BY22)</f>
        <v>797996.54444543761</v>
      </c>
    </row>
    <row r="23" spans="1:78" s="5" customFormat="1" ht="12" customHeight="1">
      <c r="A23" s="19">
        <v>20</v>
      </c>
      <c r="B23" s="21" t="str">
        <f>'Plan annuel Différentes Maladie'!B23</f>
        <v>KINDIA</v>
      </c>
      <c r="C23" s="21" t="str">
        <f>Population!C23</f>
        <v>Coyah</v>
      </c>
      <c r="D23" s="22">
        <f>IF(SUM('Plan annuel Différentes Maladie'!K:K)&gt;0,0,'Plan annuel Différentes Maladie'!T23*Population!J23)</f>
        <v>0</v>
      </c>
      <c r="E23" s="22">
        <f>'Plan annuel Différentes Maladie'!T23*Population!K23</f>
        <v>0</v>
      </c>
      <c r="F23" s="22">
        <f>'Plan annuel Différentes Maladie'!T23*Population!D23*'Page d''accueil'!$F$16</f>
        <v>0</v>
      </c>
      <c r="G23" s="22">
        <f>'Plan annuel Différentes Maladie'!AA23*Population!F23*'Page d''accueil'!$F$15</f>
        <v>0</v>
      </c>
      <c r="H23" s="22">
        <f>'Plan annuel Différentes Maladie'!AA23*Population!F23*'Page d''accueil'!$F$16</f>
        <v>0</v>
      </c>
      <c r="I23" s="22">
        <f>'Plan annuel Différentes Maladie'!AH23*Population!K23</f>
        <v>92475.25</v>
      </c>
      <c r="J23" s="22">
        <f>'Plan annuel Différentes Maladie'!AH23*Population!H23</f>
        <v>0</v>
      </c>
      <c r="K23" s="22">
        <f>'Plan annuel Différentes Maladie'!AO23*Population!J23</f>
        <v>0</v>
      </c>
      <c r="L23" s="22">
        <f>'Plan annuel Différentes Maladie'!AO23*Population!K23</f>
        <v>0</v>
      </c>
      <c r="M23" s="22">
        <f>'Plan annuel Différentes Maladie'!AO23*Population!I23</f>
        <v>0</v>
      </c>
      <c r="N23" s="22">
        <f>'Plan annuel Différentes Maladie'!AV23*Population!G23*'Page d''accueil'!$J$14</f>
        <v>0</v>
      </c>
      <c r="O23" s="22">
        <f>'Plan annuel Différentes Maladie'!AV23*Population!G23*'Page d''accueil'!$J$15</f>
        <v>0</v>
      </c>
      <c r="P23" s="22">
        <f>'Plan annuel Différentes Maladie'!AV23*Population!G23*'Page d''accueil'!$F$15</f>
        <v>0</v>
      </c>
      <c r="Q23" s="22">
        <f>'Plan annuel Différentes Maladie'!AV23*Population!G23*'Page d''accueil'!$F$16</f>
        <v>0</v>
      </c>
      <c r="R23" s="22">
        <f>MAX('Pop Cibles'!D23,'Pop Cibles'!K23,('Pop Cibles'!N23+'Pop Cibles'!O23))+MAX('Pop Cibles'!E23,'Pop Cibles'!G23,'Pop Cibles'!I23,'Pop Cibles'!L23,'Pop Cibles'!P23)+MAX('Pop Cibles'!F23,'Pop Cibles'!H23,'Pop Cibles'!J23,'Pop Cibles'!M23,'Pop Cibles'!Q23)</f>
        <v>92475.25</v>
      </c>
      <c r="S23" s="22">
        <f>IF(SUM('Plan annuel Différentes Maladie'!K:K)&gt;0,0,'Plan annuel Différentes Maladie'!U23*Population!T23)</f>
        <v>0</v>
      </c>
      <c r="T23" s="22">
        <f>'Plan annuel Différentes Maladie'!U23*Population!U23</f>
        <v>0</v>
      </c>
      <c r="U23" s="22">
        <f>'Plan annuel Différentes Maladie'!U23*Population!L23*'Page d''accueil'!$F$16</f>
        <v>0</v>
      </c>
      <c r="V23" s="22">
        <f>'Plan annuel Différentes Maladie'!AB23*Population!N23*'Page d''accueil'!$F$15</f>
        <v>0</v>
      </c>
      <c r="W23" s="22">
        <f>'Plan annuel Différentes Maladie'!AB23*Population!N23*'Page d''accueil'!$F$16</f>
        <v>0</v>
      </c>
      <c r="X23" s="22">
        <f>'Plan annuel Différentes Maladie'!AI23*Population!U23</f>
        <v>0</v>
      </c>
      <c r="Y23" s="22">
        <f>'Plan annuel Différentes Maladie'!AI23*Population!R23</f>
        <v>0</v>
      </c>
      <c r="Z23" s="22">
        <f>'Plan annuel Différentes Maladie'!AP23*Population!T23</f>
        <v>0</v>
      </c>
      <c r="AA23" s="22">
        <f>'Plan annuel Différentes Maladie'!AP23*Population!U23</f>
        <v>0</v>
      </c>
      <c r="AB23" s="22">
        <f>'Plan annuel Différentes Maladie'!AP23*Population!S23</f>
        <v>0</v>
      </c>
      <c r="AC23" s="22">
        <f>'Plan annuel Différentes Maladie'!AW23*Population!Q23*'Page d''accueil'!$J$14</f>
        <v>0</v>
      </c>
      <c r="AD23" s="22">
        <f>'Plan annuel Différentes Maladie'!AW23*Population!Q23*'Page d''accueil'!$J$15</f>
        <v>0</v>
      </c>
      <c r="AE23" s="22">
        <f>'Plan annuel Différentes Maladie'!AW23*Population!Q23*'Page d''accueil'!$F$15</f>
        <v>0</v>
      </c>
      <c r="AF23" s="22">
        <f>'Plan annuel Différentes Maladie'!AW23*Population!Q23*'Page d''accueil'!$F$16</f>
        <v>0</v>
      </c>
      <c r="AG23" s="22">
        <f>MAX('Pop Cibles'!S23,'Pop Cibles'!Z23,('Pop Cibles'!AC23+'Pop Cibles'!AD23))+MAX('Pop Cibles'!T23,'Pop Cibles'!V23,'Pop Cibles'!X23,'Pop Cibles'!AA23,'Pop Cibles'!AE23)+MAX('Pop Cibles'!U23,'Pop Cibles'!W23,'Pop Cibles'!Y23,'Pop Cibles'!AB23,'Pop Cibles'!AF23)</f>
        <v>0</v>
      </c>
      <c r="AH23" s="22">
        <f>IF(SUM('Plan annuel Différentes Maladie'!K:K)&gt;0,0,'Plan annuel Différentes Maladie'!V23*Population!AD23)</f>
        <v>0</v>
      </c>
      <c r="AI23" s="22">
        <f>'Plan annuel Différentes Maladie'!V23*Population!AE23</f>
        <v>0</v>
      </c>
      <c r="AJ23" s="22">
        <f>'Plan annuel Différentes Maladie'!V23*Population!V23*'Page d''accueil'!$F$16</f>
        <v>0</v>
      </c>
      <c r="AK23" s="22">
        <f>'Plan annuel Différentes Maladie'!AC23*Population!X23*'Page d''accueil'!$F$15</f>
        <v>0</v>
      </c>
      <c r="AL23" s="22">
        <f>'Plan annuel Différentes Maladie'!AC23*Population!X23*'Page d''accueil'!$F$16</f>
        <v>0</v>
      </c>
      <c r="AM23" s="22">
        <f>'Plan annuel Différentes Maladie'!AJ23*Population!AE23</f>
        <v>0</v>
      </c>
      <c r="AN23" s="22">
        <f>'Plan annuel Différentes Maladie'!AJ23*Population!AB23</f>
        <v>0</v>
      </c>
      <c r="AO23" s="22">
        <f>'Plan annuel Différentes Maladie'!AQ23*Population!AD23</f>
        <v>0</v>
      </c>
      <c r="AP23" s="22">
        <f>'Plan annuel Différentes Maladie'!AQ23*Population!AE23</f>
        <v>0</v>
      </c>
      <c r="AQ23" s="22">
        <f>'Plan annuel Différentes Maladie'!AQ23*Population!AC23</f>
        <v>0</v>
      </c>
      <c r="AR23" s="22">
        <f>'Plan annuel Différentes Maladie'!AX23*Population!Y23*'Page d''accueil'!$J$14</f>
        <v>0</v>
      </c>
      <c r="AS23" s="22">
        <f>'Plan annuel Différentes Maladie'!AX23*Population!Y23*'Page d''accueil'!$J$15</f>
        <v>0</v>
      </c>
      <c r="AT23" s="22">
        <f>'Plan annuel Différentes Maladie'!AX23*Population!Y23*'Page d''accueil'!$F$15</f>
        <v>0</v>
      </c>
      <c r="AU23" s="22">
        <f>'Plan annuel Différentes Maladie'!AX23*Population!Y23*'Page d''accueil'!$F$16</f>
        <v>0</v>
      </c>
      <c r="AV23" s="22">
        <f>MAX('Pop Cibles'!AH23,'Pop Cibles'!AO23,('Pop Cibles'!AR23+'Pop Cibles'!AS23))+MAX('Pop Cibles'!AI23,'Pop Cibles'!AK23,'Pop Cibles'!AM23,'Pop Cibles'!AP23,'Pop Cibles'!AT23)+MAX('Pop Cibles'!AJ23,'Pop Cibles'!AL23,'Pop Cibles'!AN23,'Pop Cibles'!AQ23,'Pop Cibles'!AU23)</f>
        <v>0</v>
      </c>
      <c r="AW23" s="22">
        <f>IF(SUM('Plan annuel Différentes Maladie'!K:K)&gt;0,0,'Plan annuel Différentes Maladie'!W23*Population!AN23)</f>
        <v>0</v>
      </c>
      <c r="AX23" s="22">
        <f>'Plan annuel Différentes Maladie'!W23*Population!AO23</f>
        <v>0</v>
      </c>
      <c r="AY23" s="22">
        <f>'Plan annuel Différentes Maladie'!W23*Population!AF23*'Page d''accueil'!$F$16</f>
        <v>0</v>
      </c>
      <c r="AZ23" s="22">
        <f>'Plan annuel Différentes Maladie'!AD23*Population!AH23*'Page d''accueil'!$F$15</f>
        <v>0</v>
      </c>
      <c r="BA23" s="22">
        <f>'Plan annuel Différentes Maladie'!AD23*Population!AH23*'Page d''accueil'!$F$16</f>
        <v>0</v>
      </c>
      <c r="BB23" s="22">
        <f>'Plan annuel Différentes Maladie'!AK23*Population!AO23</f>
        <v>100169.80881209573</v>
      </c>
      <c r="BC23" s="22">
        <f>'Plan annuel Différentes Maladie'!AK23*Population!AL23</f>
        <v>0</v>
      </c>
      <c r="BD23" s="22">
        <f>'Plan annuel Différentes Maladie'!AR23*Population!AN23</f>
        <v>0</v>
      </c>
      <c r="BE23" s="22">
        <f>'Plan annuel Différentes Maladie'!AR23*Population!AO23</f>
        <v>0</v>
      </c>
      <c r="BF23" s="22">
        <f>'Plan annuel Différentes Maladie'!AR23*Population!AM23</f>
        <v>0</v>
      </c>
      <c r="BG23" s="22">
        <f>'Plan annuel Différentes Maladie'!AY23*Population!AI23*'Page d''accueil'!$J$14</f>
        <v>0</v>
      </c>
      <c r="BH23" s="22">
        <f>'Plan annuel Différentes Maladie'!AY23*Population!AI23*'Page d''accueil'!$J$15</f>
        <v>0</v>
      </c>
      <c r="BI23" s="22">
        <f>'Plan annuel Différentes Maladie'!AY23*Population!AI23*'Page d''accueil'!$F$15</f>
        <v>0</v>
      </c>
      <c r="BJ23" s="22">
        <f>'Plan annuel Différentes Maladie'!AY23*Population!AI23*'Page d''accueil'!$F$16</f>
        <v>0</v>
      </c>
      <c r="BK23" s="22">
        <f>MAX('Pop Cibles'!AW23,'Pop Cibles'!BD23,('Pop Cibles'!BG23+'Pop Cibles'!BH23))+MAX('Pop Cibles'!AX23,'Pop Cibles'!AZ23,'Pop Cibles'!BB23,'Pop Cibles'!BE23,'Pop Cibles'!BI23)+MAX('Pop Cibles'!AY23,'Pop Cibles'!BA23,'Pop Cibles'!BC23,'Pop Cibles'!BF23,'Pop Cibles'!BJ23)</f>
        <v>100169.80881209573</v>
      </c>
      <c r="BL23" s="22">
        <f>IF(SUM('Plan annuel Différentes Maladie'!K:K)&gt;0,0,'Plan annuel Différentes Maladie'!X23*Population!AX23)</f>
        <v>0</v>
      </c>
      <c r="BM23" s="22">
        <f>'Plan annuel Différentes Maladie'!X23*Population!AY23</f>
        <v>0</v>
      </c>
      <c r="BN23" s="22">
        <f>'Plan annuel Différentes Maladie'!X23*Population!AP23*'Page d''accueil'!$F$16</f>
        <v>0</v>
      </c>
      <c r="BO23" s="22">
        <f>'Plan annuel Différentes Maladie'!AE23*Population!AR23*'Page d''accueil'!$F$15</f>
        <v>0</v>
      </c>
      <c r="BP23" s="22">
        <f>'Plan annuel Différentes Maladie'!AE23*Population!AR23*'Page d''accueil'!$F$16</f>
        <v>0</v>
      </c>
      <c r="BQ23" s="22">
        <f>'Plan annuel Différentes Maladie'!AL23*Population!AY23</f>
        <v>0</v>
      </c>
      <c r="BR23" s="22">
        <f>'Plan annuel Différentes Maladie'!AL23*Population!AV23</f>
        <v>0</v>
      </c>
      <c r="BS23" s="22">
        <f>'Plan annuel Différentes Maladie'!AS23*Population!AX23</f>
        <v>0</v>
      </c>
      <c r="BT23" s="22">
        <f>'Plan annuel Différentes Maladie'!AS23*Population!AY23</f>
        <v>0</v>
      </c>
      <c r="BU23" s="22">
        <f>'Plan annuel Différentes Maladie'!AS23*Population!AW23</f>
        <v>0</v>
      </c>
      <c r="BV23" s="22">
        <f>'Plan annuel Différentes Maladie'!AZ23*Population!AS23*'Page d''accueil'!$J$14</f>
        <v>0</v>
      </c>
      <c r="BW23" s="22">
        <f>'Plan annuel Différentes Maladie'!AZ23*Population!AS23*'Page d''accueil'!$J$15</f>
        <v>0</v>
      </c>
      <c r="BX23" s="22">
        <f>'Plan annuel Différentes Maladie'!AZ23*Population!AS23*'Page d''accueil'!$F$15</f>
        <v>0</v>
      </c>
      <c r="BY23" s="22">
        <f>'Plan annuel Différentes Maladie'!AZ23*Population!AS23*'Page d''accueil'!$F$16</f>
        <v>0</v>
      </c>
      <c r="BZ23" s="22">
        <f>MAX('Pop Cibles'!BL23,'Pop Cibles'!BS23,('Pop Cibles'!BV23+'Pop Cibles'!BW23))+MAX('Pop Cibles'!BM23,'Pop Cibles'!BO23,'Pop Cibles'!BQ23,'Pop Cibles'!BT23,'Pop Cibles'!BX23)+MAX('Pop Cibles'!BN23,'Pop Cibles'!BP23,'Pop Cibles'!BR23,'Pop Cibles'!BU23,'Pop Cibles'!BY23)</f>
        <v>0</v>
      </c>
    </row>
    <row r="24" spans="1:78" s="5" customFormat="1" ht="12" customHeight="1">
      <c r="A24" s="19">
        <v>21</v>
      </c>
      <c r="B24" s="21" t="str">
        <f>'Plan annuel Différentes Maladie'!B24</f>
        <v>KINDIA</v>
      </c>
      <c r="C24" s="21" t="str">
        <f>Population!C24</f>
        <v>Dubréka</v>
      </c>
      <c r="D24" s="22">
        <f>IF(SUM('Plan annuel Différentes Maladie'!K:K)&gt;0,0,'Plan annuel Différentes Maladie'!T24*Population!J24)</f>
        <v>0</v>
      </c>
      <c r="E24" s="22">
        <f>'Plan annuel Différentes Maladie'!T24*Population!K24</f>
        <v>0</v>
      </c>
      <c r="F24" s="22">
        <f>'Plan annuel Différentes Maladie'!T24*Population!D24*'Page d''accueil'!$F$16</f>
        <v>0</v>
      </c>
      <c r="G24" s="22">
        <f>'Plan annuel Différentes Maladie'!AA24*Population!F24*'Page d''accueil'!$F$15</f>
        <v>0</v>
      </c>
      <c r="H24" s="22">
        <f>'Plan annuel Différentes Maladie'!AA24*Population!F24*'Page d''accueil'!$F$16</f>
        <v>0</v>
      </c>
      <c r="I24" s="22">
        <f>'Plan annuel Différentes Maladie'!AH24*Population!K24</f>
        <v>123991.5</v>
      </c>
      <c r="J24" s="22">
        <f>'Plan annuel Différentes Maladie'!AH24*Population!H24</f>
        <v>0</v>
      </c>
      <c r="K24" s="22">
        <f>'Plan annuel Différentes Maladie'!AO24*Population!J24</f>
        <v>0</v>
      </c>
      <c r="L24" s="22">
        <f>'Plan annuel Différentes Maladie'!AO24*Population!K24</f>
        <v>0</v>
      </c>
      <c r="M24" s="22">
        <f>'Plan annuel Différentes Maladie'!AO24*Population!I24</f>
        <v>0</v>
      </c>
      <c r="N24" s="22">
        <f>'Plan annuel Différentes Maladie'!AV24*Population!G24*'Page d''accueil'!$J$14</f>
        <v>0</v>
      </c>
      <c r="O24" s="22">
        <f>'Plan annuel Différentes Maladie'!AV24*Population!G24*'Page d''accueil'!$J$15</f>
        <v>0</v>
      </c>
      <c r="P24" s="22">
        <f>'Plan annuel Différentes Maladie'!AV24*Population!G24*'Page d''accueil'!$F$15</f>
        <v>0</v>
      </c>
      <c r="Q24" s="22">
        <f>'Plan annuel Différentes Maladie'!AV24*Population!G24*'Page d''accueil'!$F$16</f>
        <v>0</v>
      </c>
      <c r="R24" s="22">
        <f>MAX('Pop Cibles'!D24,'Pop Cibles'!K24,('Pop Cibles'!N24+'Pop Cibles'!O24))+MAX('Pop Cibles'!E24,'Pop Cibles'!G24,'Pop Cibles'!I24,'Pop Cibles'!L24,'Pop Cibles'!P24)+MAX('Pop Cibles'!F24,'Pop Cibles'!H24,'Pop Cibles'!J24,'Pop Cibles'!M24,'Pop Cibles'!Q24)</f>
        <v>123991.5</v>
      </c>
      <c r="S24" s="22">
        <f>IF(SUM('Plan annuel Différentes Maladie'!K:K)&gt;0,0,'Plan annuel Différentes Maladie'!U24*Population!T24)</f>
        <v>0</v>
      </c>
      <c r="T24" s="22">
        <f>'Plan annuel Différentes Maladie'!U24*Population!U24</f>
        <v>0</v>
      </c>
      <c r="U24" s="22">
        <f>'Plan annuel Différentes Maladie'!U24*Population!L24*'Page d''accueil'!$F$16</f>
        <v>0</v>
      </c>
      <c r="V24" s="22">
        <f>'Plan annuel Différentes Maladie'!AB24*Population!N24*'Page d''accueil'!$F$15</f>
        <v>0</v>
      </c>
      <c r="W24" s="22">
        <f>'Plan annuel Différentes Maladie'!AB24*Population!N24*'Page d''accueil'!$F$16</f>
        <v>0</v>
      </c>
      <c r="X24" s="22">
        <f>'Plan annuel Différentes Maladie'!AI24*Population!U24</f>
        <v>0</v>
      </c>
      <c r="Y24" s="22">
        <f>'Plan annuel Différentes Maladie'!AI24*Population!R24</f>
        <v>0</v>
      </c>
      <c r="Z24" s="22">
        <f>'Plan annuel Différentes Maladie'!AP24*Population!T24</f>
        <v>0</v>
      </c>
      <c r="AA24" s="22">
        <f>'Plan annuel Différentes Maladie'!AP24*Population!U24</f>
        <v>0</v>
      </c>
      <c r="AB24" s="22">
        <f>'Plan annuel Différentes Maladie'!AP24*Population!S24</f>
        <v>0</v>
      </c>
      <c r="AC24" s="22">
        <f>'Plan annuel Différentes Maladie'!AW24*Population!Q24*'Page d''accueil'!$J$14</f>
        <v>0</v>
      </c>
      <c r="AD24" s="22">
        <f>'Plan annuel Différentes Maladie'!AW24*Population!Q24*'Page d''accueil'!$J$15</f>
        <v>0</v>
      </c>
      <c r="AE24" s="22">
        <f>'Plan annuel Différentes Maladie'!AW24*Population!Q24*'Page d''accueil'!$F$15</f>
        <v>0</v>
      </c>
      <c r="AF24" s="22">
        <f>'Plan annuel Différentes Maladie'!AW24*Population!Q24*'Page d''accueil'!$F$16</f>
        <v>0</v>
      </c>
      <c r="AG24" s="22">
        <f>MAX('Pop Cibles'!S24,'Pop Cibles'!Z24,('Pop Cibles'!AC24+'Pop Cibles'!AD24))+MAX('Pop Cibles'!T24,'Pop Cibles'!V24,'Pop Cibles'!X24,'Pop Cibles'!AA24,'Pop Cibles'!AE24)+MAX('Pop Cibles'!U24,'Pop Cibles'!W24,'Pop Cibles'!Y24,'Pop Cibles'!AB24,'Pop Cibles'!AF24)</f>
        <v>0</v>
      </c>
      <c r="AH24" s="22">
        <f>IF(SUM('Plan annuel Différentes Maladie'!K:K)&gt;0,0,'Plan annuel Différentes Maladie'!V24*Population!AD24)</f>
        <v>0</v>
      </c>
      <c r="AI24" s="22">
        <f>'Plan annuel Différentes Maladie'!V24*Population!AE24</f>
        <v>0</v>
      </c>
      <c r="AJ24" s="22">
        <f>'Plan annuel Différentes Maladie'!V24*Population!V24*'Page d''accueil'!$F$16</f>
        <v>0</v>
      </c>
      <c r="AK24" s="22">
        <f>'Plan annuel Différentes Maladie'!AC24*Population!X24*'Page d''accueil'!$F$15</f>
        <v>0</v>
      </c>
      <c r="AL24" s="22">
        <f>'Plan annuel Différentes Maladie'!AC24*Population!X24*'Page d''accueil'!$F$16</f>
        <v>0</v>
      </c>
      <c r="AM24" s="22">
        <f>'Plan annuel Différentes Maladie'!AJ24*Population!AE24</f>
        <v>0</v>
      </c>
      <c r="AN24" s="22">
        <f>'Plan annuel Différentes Maladie'!AJ24*Population!AB24</f>
        <v>0</v>
      </c>
      <c r="AO24" s="22">
        <f>'Plan annuel Différentes Maladie'!AQ24*Population!AD24</f>
        <v>0</v>
      </c>
      <c r="AP24" s="22">
        <f>'Plan annuel Différentes Maladie'!AQ24*Population!AE24</f>
        <v>0</v>
      </c>
      <c r="AQ24" s="22">
        <f>'Plan annuel Différentes Maladie'!AQ24*Population!AC24</f>
        <v>0</v>
      </c>
      <c r="AR24" s="22">
        <f>'Plan annuel Différentes Maladie'!AX24*Population!Y24*'Page d''accueil'!$J$14</f>
        <v>0</v>
      </c>
      <c r="AS24" s="22">
        <f>'Plan annuel Différentes Maladie'!AX24*Population!Y24*'Page d''accueil'!$J$15</f>
        <v>0</v>
      </c>
      <c r="AT24" s="22">
        <f>'Plan annuel Différentes Maladie'!AX24*Population!Y24*'Page d''accueil'!$F$15</f>
        <v>0</v>
      </c>
      <c r="AU24" s="22">
        <f>'Plan annuel Différentes Maladie'!AX24*Population!Y24*'Page d''accueil'!$F$16</f>
        <v>0</v>
      </c>
      <c r="AV24" s="22">
        <f>MAX('Pop Cibles'!AH24,'Pop Cibles'!AO24,('Pop Cibles'!AR24+'Pop Cibles'!AS24))+MAX('Pop Cibles'!AI24,'Pop Cibles'!AK24,'Pop Cibles'!AM24,'Pop Cibles'!AP24,'Pop Cibles'!AT24)+MAX('Pop Cibles'!AJ24,'Pop Cibles'!AL24,'Pop Cibles'!AN24,'Pop Cibles'!AQ24,'Pop Cibles'!AU24)</f>
        <v>0</v>
      </c>
      <c r="AW24" s="22">
        <f>IF(SUM('Plan annuel Différentes Maladie'!K:K)&gt;0,0,'Plan annuel Différentes Maladie'!W24*Population!AN24)</f>
        <v>0</v>
      </c>
      <c r="AX24" s="22">
        <f>'Plan annuel Différentes Maladie'!W24*Population!AO24</f>
        <v>0</v>
      </c>
      <c r="AY24" s="22">
        <f>'Plan annuel Différentes Maladie'!W24*Population!AF24*'Page d''accueil'!$F$16</f>
        <v>0</v>
      </c>
      <c r="AZ24" s="22">
        <f>'Plan annuel Différentes Maladie'!AD24*Population!AH24*'Page d''accueil'!$F$15</f>
        <v>0</v>
      </c>
      <c r="BA24" s="22">
        <f>'Plan annuel Différentes Maladie'!AD24*Population!AH24*'Page d''accueil'!$F$16</f>
        <v>0</v>
      </c>
      <c r="BB24" s="22">
        <f>'Plan annuel Différentes Maladie'!AK24*Population!AO24</f>
        <v>134308.42143519447</v>
      </c>
      <c r="BC24" s="22">
        <f>'Plan annuel Différentes Maladie'!AK24*Population!AL24</f>
        <v>0</v>
      </c>
      <c r="BD24" s="22">
        <f>'Plan annuel Différentes Maladie'!AR24*Population!AN24</f>
        <v>0</v>
      </c>
      <c r="BE24" s="22">
        <f>'Plan annuel Différentes Maladie'!AR24*Population!AO24</f>
        <v>0</v>
      </c>
      <c r="BF24" s="22">
        <f>'Plan annuel Différentes Maladie'!AR24*Population!AM24</f>
        <v>0</v>
      </c>
      <c r="BG24" s="22">
        <f>'Plan annuel Différentes Maladie'!AY24*Population!AI24*'Page d''accueil'!$J$14</f>
        <v>0</v>
      </c>
      <c r="BH24" s="22">
        <f>'Plan annuel Différentes Maladie'!AY24*Population!AI24*'Page d''accueil'!$J$15</f>
        <v>0</v>
      </c>
      <c r="BI24" s="22">
        <f>'Plan annuel Différentes Maladie'!AY24*Population!AI24*'Page d''accueil'!$F$15</f>
        <v>0</v>
      </c>
      <c r="BJ24" s="22">
        <f>'Plan annuel Différentes Maladie'!AY24*Population!AI24*'Page d''accueil'!$F$16</f>
        <v>0</v>
      </c>
      <c r="BK24" s="22">
        <f>MAX('Pop Cibles'!AW24,'Pop Cibles'!BD24,('Pop Cibles'!BG24+'Pop Cibles'!BH24))+MAX('Pop Cibles'!AX24,'Pop Cibles'!AZ24,'Pop Cibles'!BB24,'Pop Cibles'!BE24,'Pop Cibles'!BI24)+MAX('Pop Cibles'!AY24,'Pop Cibles'!BA24,'Pop Cibles'!BC24,'Pop Cibles'!BF24,'Pop Cibles'!BJ24)</f>
        <v>134308.42143519447</v>
      </c>
      <c r="BL24" s="22">
        <f>IF(SUM('Plan annuel Différentes Maladie'!K:K)&gt;0,0,'Plan annuel Différentes Maladie'!X24*Population!AX24)</f>
        <v>0</v>
      </c>
      <c r="BM24" s="22">
        <f>'Plan annuel Différentes Maladie'!X24*Population!AY24</f>
        <v>0</v>
      </c>
      <c r="BN24" s="22">
        <f>'Plan annuel Différentes Maladie'!X24*Population!AP24*'Page d''accueil'!$F$16</f>
        <v>0</v>
      </c>
      <c r="BO24" s="22">
        <f>'Plan annuel Différentes Maladie'!AE24*Population!AR24*'Page d''accueil'!$F$15</f>
        <v>0</v>
      </c>
      <c r="BP24" s="22">
        <f>'Plan annuel Différentes Maladie'!AE24*Population!AR24*'Page d''accueil'!$F$16</f>
        <v>0</v>
      </c>
      <c r="BQ24" s="22">
        <f>'Plan annuel Différentes Maladie'!AL24*Population!AY24</f>
        <v>0</v>
      </c>
      <c r="BR24" s="22">
        <f>'Plan annuel Différentes Maladie'!AL24*Population!AV24</f>
        <v>0</v>
      </c>
      <c r="BS24" s="22">
        <f>'Plan annuel Différentes Maladie'!AS24*Population!AX24</f>
        <v>0</v>
      </c>
      <c r="BT24" s="22">
        <f>'Plan annuel Différentes Maladie'!AS24*Population!AY24</f>
        <v>0</v>
      </c>
      <c r="BU24" s="22">
        <f>'Plan annuel Différentes Maladie'!AS24*Population!AW24</f>
        <v>0</v>
      </c>
      <c r="BV24" s="22">
        <f>'Plan annuel Différentes Maladie'!AZ24*Population!AS24*'Page d''accueil'!$J$14</f>
        <v>0</v>
      </c>
      <c r="BW24" s="22">
        <f>'Plan annuel Différentes Maladie'!AZ24*Population!AS24*'Page d''accueil'!$J$15</f>
        <v>0</v>
      </c>
      <c r="BX24" s="22">
        <f>'Plan annuel Différentes Maladie'!AZ24*Population!AS24*'Page d''accueil'!$F$15</f>
        <v>0</v>
      </c>
      <c r="BY24" s="22">
        <f>'Plan annuel Différentes Maladie'!AZ24*Population!AS24*'Page d''accueil'!$F$16</f>
        <v>0</v>
      </c>
      <c r="BZ24" s="22">
        <f>MAX('Pop Cibles'!BL24,'Pop Cibles'!BS24,('Pop Cibles'!BV24+'Pop Cibles'!BW24))+MAX('Pop Cibles'!BM24,'Pop Cibles'!BO24,'Pop Cibles'!BQ24,'Pop Cibles'!BT24,'Pop Cibles'!BX24)+MAX('Pop Cibles'!BN24,'Pop Cibles'!BP24,'Pop Cibles'!BR24,'Pop Cibles'!BU24,'Pop Cibles'!BY24)</f>
        <v>0</v>
      </c>
    </row>
    <row r="25" spans="1:78" s="5" customFormat="1" ht="12" customHeight="1">
      <c r="A25" s="19">
        <v>22</v>
      </c>
      <c r="B25" s="21" t="str">
        <f>'Plan annuel Différentes Maladie'!B25</f>
        <v>KINDIA</v>
      </c>
      <c r="C25" s="21" t="str">
        <f>Population!C25</f>
        <v>Forécariah</v>
      </c>
      <c r="D25" s="22">
        <f>IF(SUM('Plan annuel Différentes Maladie'!K:K)&gt;0,0,'Plan annuel Différentes Maladie'!T25*Population!J25)</f>
        <v>0</v>
      </c>
      <c r="E25" s="22">
        <f>'Plan annuel Différentes Maladie'!T25*Population!K25</f>
        <v>67955.25</v>
      </c>
      <c r="F25" s="22">
        <f>'Plan annuel Différentes Maladie'!T25*Population!D25*'Page d''accueil'!$F$16</f>
        <v>149501.54999999999</v>
      </c>
      <c r="G25" s="22">
        <f>'Plan annuel Différentes Maladie'!AA25*Population!F25*'Page d''accueil'!$F$15</f>
        <v>54364.200000000004</v>
      </c>
      <c r="H25" s="22">
        <f>'Plan annuel Différentes Maladie'!AA25*Population!F25*'Page d''accueil'!$F$16</f>
        <v>119601.23999999999</v>
      </c>
      <c r="I25" s="22">
        <f>'Plan annuel Différentes Maladie'!AH25*Population!K25</f>
        <v>0</v>
      </c>
      <c r="J25" s="22">
        <f>'Plan annuel Différentes Maladie'!AH25*Population!H25</f>
        <v>0</v>
      </c>
      <c r="K25" s="22">
        <f>'Plan annuel Différentes Maladie'!AO25*Population!J25</f>
        <v>111446.61</v>
      </c>
      <c r="L25" s="22">
        <f>'Plan annuel Différentes Maladie'!AO25*Population!K25</f>
        <v>67955.25</v>
      </c>
      <c r="M25" s="22">
        <f>'Plan annuel Différentes Maladie'!AO25*Population!I25</f>
        <v>0</v>
      </c>
      <c r="N25" s="22">
        <f>'Plan annuel Différentes Maladie'!AV25*Population!G25*'Page d''accueil'!$J$14</f>
        <v>0</v>
      </c>
      <c r="O25" s="22">
        <f>'Plan annuel Différentes Maladie'!AV25*Population!G25*'Page d''accueil'!$J$15</f>
        <v>0</v>
      </c>
      <c r="P25" s="22">
        <f>'Plan annuel Différentes Maladie'!AV25*Population!G25*'Page d''accueil'!$F$15</f>
        <v>0</v>
      </c>
      <c r="Q25" s="22">
        <f>'Plan annuel Différentes Maladie'!AV25*Population!G25*'Page d''accueil'!$F$16</f>
        <v>0</v>
      </c>
      <c r="R25" s="22">
        <f>MAX('Pop Cibles'!D25,'Pop Cibles'!K25,('Pop Cibles'!N25+'Pop Cibles'!O25))+MAX('Pop Cibles'!E25,'Pop Cibles'!G25,'Pop Cibles'!I25,'Pop Cibles'!L25,'Pop Cibles'!P25)+MAX('Pop Cibles'!F25,'Pop Cibles'!H25,'Pop Cibles'!J25,'Pop Cibles'!M25,'Pop Cibles'!Q25)</f>
        <v>328903.40999999997</v>
      </c>
      <c r="S25" s="22">
        <f>IF(SUM('Plan annuel Différentes Maladie'!K:K)&gt;0,0,'Plan annuel Différentes Maladie'!U25*Population!T25)</f>
        <v>0</v>
      </c>
      <c r="T25" s="22">
        <f>'Plan annuel Différentes Maladie'!U25*Population!U25</f>
        <v>69790.041749999989</v>
      </c>
      <c r="U25" s="22">
        <f>'Plan annuel Différentes Maladie'!U25*Population!L25*'Page d''accueil'!$F$16</f>
        <v>153538.09184999997</v>
      </c>
      <c r="V25" s="22">
        <f>'Plan annuel Différentes Maladie'!AB25*Population!N25*'Page d''accueil'!$F$15</f>
        <v>55832.0334</v>
      </c>
      <c r="W25" s="22">
        <f>'Plan annuel Différentes Maladie'!AB25*Population!N25*'Page d''accueil'!$F$16</f>
        <v>122830.47347999999</v>
      </c>
      <c r="X25" s="22">
        <f>'Plan annuel Différentes Maladie'!AI25*Population!U25</f>
        <v>0</v>
      </c>
      <c r="Y25" s="22">
        <f>'Plan annuel Différentes Maladie'!AI25*Population!R25</f>
        <v>0</v>
      </c>
      <c r="Z25" s="22">
        <f>'Plan annuel Différentes Maladie'!AP25*Population!T25</f>
        <v>44665.626719999993</v>
      </c>
      <c r="AA25" s="22">
        <f>'Plan annuel Différentes Maladie'!AP25*Population!U25</f>
        <v>69790.041749999989</v>
      </c>
      <c r="AB25" s="22">
        <f>'Plan annuel Différentes Maladie'!AP25*Population!S25</f>
        <v>0</v>
      </c>
      <c r="AC25" s="22">
        <f>'Plan annuel Différentes Maladie'!AW25*Population!Q25*'Page d''accueil'!$J$14</f>
        <v>0</v>
      </c>
      <c r="AD25" s="22">
        <f>'Plan annuel Différentes Maladie'!AW25*Population!Q25*'Page d''accueil'!$J$15</f>
        <v>0</v>
      </c>
      <c r="AE25" s="22">
        <f>'Plan annuel Différentes Maladie'!AW25*Population!Q25*'Page d''accueil'!$F$15</f>
        <v>0</v>
      </c>
      <c r="AF25" s="22">
        <f>'Plan annuel Différentes Maladie'!AW25*Population!Q25*'Page d''accueil'!$F$16</f>
        <v>0</v>
      </c>
      <c r="AG25" s="22">
        <f>MAX('Pop Cibles'!S25,'Pop Cibles'!Z25,('Pop Cibles'!AC25+'Pop Cibles'!AD25))+MAX('Pop Cibles'!T25,'Pop Cibles'!V25,'Pop Cibles'!X25,'Pop Cibles'!AA25,'Pop Cibles'!AE25)+MAX('Pop Cibles'!U25,'Pop Cibles'!W25,'Pop Cibles'!Y25,'Pop Cibles'!AB25,'Pop Cibles'!AF25)</f>
        <v>267993.76031999994</v>
      </c>
      <c r="AH25" s="22">
        <f>IF(SUM('Plan annuel Différentes Maladie'!K:K)&gt;0,0,'Plan annuel Différentes Maladie'!V25*Population!AD25)</f>
        <v>0</v>
      </c>
      <c r="AI25" s="22">
        <f>'Plan annuel Différentes Maladie'!V25*Population!AE25</f>
        <v>71674.372877249989</v>
      </c>
      <c r="AJ25" s="22">
        <f>'Plan annuel Différentes Maladie'!V25*Population!V25*'Page d''accueil'!$F$16</f>
        <v>157683.62032994995</v>
      </c>
      <c r="AK25" s="22">
        <f>'Plan annuel Différentes Maladie'!AC25*Population!X25*'Page d''accueil'!$F$15</f>
        <v>57339.498301799998</v>
      </c>
      <c r="AL25" s="22">
        <f>'Plan annuel Différentes Maladie'!AC25*Population!X25*'Page d''accueil'!$F$16</f>
        <v>126146.89626395998</v>
      </c>
      <c r="AM25" s="22">
        <f>'Plan annuel Différentes Maladie'!AJ25*Population!AE25</f>
        <v>71674.372877249989</v>
      </c>
      <c r="AN25" s="22">
        <f>'Plan annuel Différentes Maladie'!AJ25*Population!AB25</f>
        <v>0</v>
      </c>
      <c r="AO25" s="22">
        <f>'Plan annuel Différentes Maladie'!AQ25*Population!AD25</f>
        <v>45871.598641439996</v>
      </c>
      <c r="AP25" s="22">
        <f>'Plan annuel Différentes Maladie'!AQ25*Population!AE25</f>
        <v>71674.372877249989</v>
      </c>
      <c r="AQ25" s="22">
        <f>'Plan annuel Différentes Maladie'!AQ25*Population!AC25</f>
        <v>0</v>
      </c>
      <c r="AR25" s="22">
        <f>'Plan annuel Différentes Maladie'!AX25*Population!Y25*'Page d''accueil'!$J$14</f>
        <v>0</v>
      </c>
      <c r="AS25" s="22">
        <f>'Plan annuel Différentes Maladie'!AX25*Population!Y25*'Page d''accueil'!$J$15</f>
        <v>0</v>
      </c>
      <c r="AT25" s="22">
        <f>'Plan annuel Différentes Maladie'!AX25*Population!Y25*'Page d''accueil'!$F$15</f>
        <v>0</v>
      </c>
      <c r="AU25" s="22">
        <f>'Plan annuel Différentes Maladie'!AX25*Population!Y25*'Page d''accueil'!$F$16</f>
        <v>0</v>
      </c>
      <c r="AV25" s="22">
        <f>MAX('Pop Cibles'!AH25,'Pop Cibles'!AO25,('Pop Cibles'!AR25+'Pop Cibles'!AS25))+MAX('Pop Cibles'!AI25,'Pop Cibles'!AK25,'Pop Cibles'!AM25,'Pop Cibles'!AP25,'Pop Cibles'!AT25)+MAX('Pop Cibles'!AJ25,'Pop Cibles'!AL25,'Pop Cibles'!AN25,'Pop Cibles'!AQ25,'Pop Cibles'!AU25)</f>
        <v>275229.59184863995</v>
      </c>
      <c r="AW25" s="22">
        <f>IF(SUM('Plan annuel Différentes Maladie'!K:K)&gt;0,0,'Plan annuel Différentes Maladie'!W25*Population!AN25)</f>
        <v>0</v>
      </c>
      <c r="AX25" s="22">
        <f>'Plan annuel Différentes Maladie'!W25*Population!AO25</f>
        <v>73609.580944935733</v>
      </c>
      <c r="AY25" s="22">
        <f>'Plan annuel Différentes Maladie'!W25*Population!AF25*'Page d''accueil'!$F$16</f>
        <v>161941.07807885858</v>
      </c>
      <c r="AZ25" s="22">
        <f>'Plan annuel Différentes Maladie'!AD25*Population!AH25*'Page d''accueil'!$F$15</f>
        <v>58887.664755948594</v>
      </c>
      <c r="BA25" s="22">
        <f>'Plan annuel Différentes Maladie'!AD25*Population!AH25*'Page d''accueil'!$F$16</f>
        <v>129552.86246308689</v>
      </c>
      <c r="BB25" s="22">
        <f>'Plan annuel Différentes Maladie'!AK25*Population!AO25</f>
        <v>0</v>
      </c>
      <c r="BC25" s="22">
        <f>'Plan annuel Différentes Maladie'!AK25*Population!AL25</f>
        <v>0</v>
      </c>
      <c r="BD25" s="22">
        <f>'Plan annuel Différentes Maladie'!AR25*Population!AN25</f>
        <v>47110.131804758872</v>
      </c>
      <c r="BE25" s="22">
        <f>'Plan annuel Différentes Maladie'!AR25*Population!AO25</f>
        <v>73609.580944935733</v>
      </c>
      <c r="BF25" s="22">
        <f>'Plan annuel Différentes Maladie'!AR25*Population!AM25</f>
        <v>0</v>
      </c>
      <c r="BG25" s="22">
        <f>'Plan annuel Différentes Maladie'!AY25*Population!AI25*'Page d''accueil'!$J$14</f>
        <v>0</v>
      </c>
      <c r="BH25" s="22">
        <f>'Plan annuel Différentes Maladie'!AY25*Population!AI25*'Page d''accueil'!$J$15</f>
        <v>0</v>
      </c>
      <c r="BI25" s="22">
        <f>'Plan annuel Différentes Maladie'!AY25*Population!AI25*'Page d''accueil'!$F$15</f>
        <v>0</v>
      </c>
      <c r="BJ25" s="22">
        <f>'Plan annuel Différentes Maladie'!AY25*Population!AI25*'Page d''accueil'!$F$16</f>
        <v>0</v>
      </c>
      <c r="BK25" s="22">
        <f>MAX('Pop Cibles'!AW25,'Pop Cibles'!BD25,('Pop Cibles'!BG25+'Pop Cibles'!BH25))+MAX('Pop Cibles'!AX25,'Pop Cibles'!AZ25,'Pop Cibles'!BB25,'Pop Cibles'!BE25,'Pop Cibles'!BI25)+MAX('Pop Cibles'!AY25,'Pop Cibles'!BA25,'Pop Cibles'!BC25,'Pop Cibles'!BF25,'Pop Cibles'!BJ25)</f>
        <v>282660.7908285532</v>
      </c>
      <c r="BL25" s="22">
        <f>IF(SUM('Plan annuel Différentes Maladie'!K:K)&gt;0,0,'Plan annuel Différentes Maladie'!X25*Population!AX25)</f>
        <v>0</v>
      </c>
      <c r="BM25" s="22">
        <f>'Plan annuel Différentes Maladie'!X25*Population!AY25</f>
        <v>75597.039630448984</v>
      </c>
      <c r="BN25" s="22">
        <f>'Plan annuel Différentes Maladie'!X25*Population!AP25*'Page d''accueil'!$F$16</f>
        <v>166313.48718698774</v>
      </c>
      <c r="BO25" s="22">
        <f>'Plan annuel Différentes Maladie'!AE25*Population!AR25*'Page d''accueil'!$F$15</f>
        <v>60477.631704359199</v>
      </c>
      <c r="BP25" s="22">
        <f>'Plan annuel Différentes Maladie'!AE25*Population!AR25*'Page d''accueil'!$F$16</f>
        <v>133050.78974959021</v>
      </c>
      <c r="BQ25" s="22">
        <f>'Plan annuel Différentes Maladie'!AL25*Population!AY25</f>
        <v>0</v>
      </c>
      <c r="BR25" s="22">
        <f>'Plan annuel Différentes Maladie'!AL25*Population!AV25</f>
        <v>0</v>
      </c>
      <c r="BS25" s="22">
        <f>'Plan annuel Différentes Maladie'!AS25*Population!AX25</f>
        <v>48382.105363487353</v>
      </c>
      <c r="BT25" s="22">
        <f>'Plan annuel Différentes Maladie'!AS25*Population!AY25</f>
        <v>75597.039630448984</v>
      </c>
      <c r="BU25" s="22">
        <f>'Plan annuel Différentes Maladie'!AS25*Population!AW25</f>
        <v>0</v>
      </c>
      <c r="BV25" s="22">
        <f>'Plan annuel Différentes Maladie'!AZ25*Population!AS25*'Page d''accueil'!$J$14</f>
        <v>0</v>
      </c>
      <c r="BW25" s="22">
        <f>'Plan annuel Différentes Maladie'!AZ25*Population!AS25*'Page d''accueil'!$J$15</f>
        <v>0</v>
      </c>
      <c r="BX25" s="22">
        <f>'Plan annuel Différentes Maladie'!AZ25*Population!AS25*'Page d''accueil'!$F$15</f>
        <v>0</v>
      </c>
      <c r="BY25" s="22">
        <f>'Plan annuel Différentes Maladie'!AZ25*Population!AS25*'Page d''accueil'!$F$16</f>
        <v>0</v>
      </c>
      <c r="BZ25" s="22">
        <f>MAX('Pop Cibles'!BL25,'Pop Cibles'!BS25,('Pop Cibles'!BV25+'Pop Cibles'!BW25))+MAX('Pop Cibles'!BM25,'Pop Cibles'!BO25,'Pop Cibles'!BQ25,'Pop Cibles'!BT25,'Pop Cibles'!BX25)+MAX('Pop Cibles'!BN25,'Pop Cibles'!BP25,'Pop Cibles'!BR25,'Pop Cibles'!BU25,'Pop Cibles'!BY25)</f>
        <v>290292.63218092406</v>
      </c>
    </row>
    <row r="26" spans="1:78" s="5" customFormat="1" ht="12" customHeight="1">
      <c r="A26" s="19">
        <v>23</v>
      </c>
      <c r="B26" s="21" t="str">
        <f>'Plan annuel Différentes Maladie'!B26</f>
        <v>KINDIA</v>
      </c>
      <c r="C26" s="21" t="str">
        <f>Population!C26</f>
        <v>Kindia</v>
      </c>
      <c r="D26" s="22">
        <f>IF(SUM('Plan annuel Différentes Maladie'!K:K)&gt;0,0,'Plan annuel Différentes Maladie'!T26*Population!J26)</f>
        <v>0</v>
      </c>
      <c r="E26" s="22">
        <f>'Plan annuel Différentes Maladie'!T26*Population!K26</f>
        <v>118923.5</v>
      </c>
      <c r="F26" s="22">
        <f>'Plan annuel Différentes Maladie'!T26*Population!D26*'Page d''accueil'!$F$16</f>
        <v>261631.69999999998</v>
      </c>
      <c r="G26" s="22">
        <f>'Plan annuel Différentes Maladie'!AA26*Population!F26*'Page d''accueil'!$F$15</f>
        <v>95138.8</v>
      </c>
      <c r="H26" s="22">
        <f>'Plan annuel Différentes Maladie'!AA26*Population!F26*'Page d''accueil'!$F$16</f>
        <v>209305.36</v>
      </c>
      <c r="I26" s="22">
        <f>'Plan annuel Différentes Maladie'!AH26*Population!K26</f>
        <v>118923.5</v>
      </c>
      <c r="J26" s="22">
        <f>'Plan annuel Différentes Maladie'!AH26*Population!H26</f>
        <v>0</v>
      </c>
      <c r="K26" s="22">
        <f>'Plan annuel Différentes Maladie'!AO26*Population!J26</f>
        <v>195034.53999999998</v>
      </c>
      <c r="L26" s="22">
        <f>'Plan annuel Différentes Maladie'!AO26*Population!K26</f>
        <v>118923.5</v>
      </c>
      <c r="M26" s="22">
        <f>'Plan annuel Différentes Maladie'!AO26*Population!I26</f>
        <v>380555.2</v>
      </c>
      <c r="N26" s="22">
        <f>'Plan annuel Différentes Maladie'!AV26*Population!G26*'Page d''accueil'!$J$14</f>
        <v>0</v>
      </c>
      <c r="O26" s="22">
        <f>'Plan annuel Différentes Maladie'!AV26*Population!G26*'Page d''accueil'!$J$15</f>
        <v>0</v>
      </c>
      <c r="P26" s="22">
        <f>'Plan annuel Différentes Maladie'!AV26*Population!G26*'Page d''accueil'!$F$15</f>
        <v>0</v>
      </c>
      <c r="Q26" s="22">
        <f>'Plan annuel Différentes Maladie'!AV26*Population!G26*'Page d''accueil'!$F$16</f>
        <v>0</v>
      </c>
      <c r="R26" s="22">
        <f>MAX('Pop Cibles'!D26,'Pop Cibles'!K26,('Pop Cibles'!N26+'Pop Cibles'!O26))+MAX('Pop Cibles'!E26,'Pop Cibles'!G26,'Pop Cibles'!I26,'Pop Cibles'!L26,'Pop Cibles'!P26)+MAX('Pop Cibles'!F26,'Pop Cibles'!H26,'Pop Cibles'!J26,'Pop Cibles'!M26,'Pop Cibles'!Q26)</f>
        <v>694513.24</v>
      </c>
      <c r="S26" s="22">
        <f>IF(SUM('Plan annuel Différentes Maladie'!K:K)&gt;0,0,'Plan annuel Différentes Maladie'!U26*Population!T26)</f>
        <v>0</v>
      </c>
      <c r="T26" s="22">
        <f>'Plan annuel Différentes Maladie'!U26*Population!U26</f>
        <v>122134.43449999999</v>
      </c>
      <c r="U26" s="22">
        <f>'Plan annuel Différentes Maladie'!U26*Population!L26*'Page d''accueil'!$F$16</f>
        <v>268695.75589999993</v>
      </c>
      <c r="V26" s="22">
        <f>'Plan annuel Différentes Maladie'!AB26*Population!N26*'Page d''accueil'!$F$15</f>
        <v>97707.547599999991</v>
      </c>
      <c r="W26" s="22">
        <f>'Plan annuel Différentes Maladie'!AB26*Population!N26*'Page d''accueil'!$F$16</f>
        <v>214956.60471999994</v>
      </c>
      <c r="X26" s="22">
        <f>'Plan annuel Différentes Maladie'!AI26*Population!U26</f>
        <v>122134.43449999999</v>
      </c>
      <c r="Y26" s="22">
        <f>'Plan annuel Différentes Maladie'!AI26*Population!R26</f>
        <v>0</v>
      </c>
      <c r="Z26" s="22">
        <f>'Plan annuel Différentes Maladie'!AP26*Population!T26</f>
        <v>78166.038079999998</v>
      </c>
      <c r="AA26" s="22">
        <f>'Plan annuel Différentes Maladie'!AP26*Population!U26</f>
        <v>122134.43449999999</v>
      </c>
      <c r="AB26" s="22">
        <f>'Plan annuel Différentes Maladie'!AP26*Population!S26</f>
        <v>390830.19039999996</v>
      </c>
      <c r="AC26" s="22">
        <f>'Plan annuel Différentes Maladie'!AW26*Population!Q26*'Page d''accueil'!$J$14</f>
        <v>0</v>
      </c>
      <c r="AD26" s="22">
        <f>'Plan annuel Différentes Maladie'!AW26*Population!Q26*'Page d''accueil'!$J$15</f>
        <v>0</v>
      </c>
      <c r="AE26" s="22">
        <f>'Plan annuel Différentes Maladie'!AW26*Population!Q26*'Page d''accueil'!$F$15</f>
        <v>0</v>
      </c>
      <c r="AF26" s="22">
        <f>'Plan annuel Différentes Maladie'!AW26*Population!Q26*'Page d''accueil'!$F$16</f>
        <v>0</v>
      </c>
      <c r="AG26" s="22">
        <f>MAX('Pop Cibles'!S26,'Pop Cibles'!Z26,('Pop Cibles'!AC26+'Pop Cibles'!AD26))+MAX('Pop Cibles'!T26,'Pop Cibles'!V26,'Pop Cibles'!X26,'Pop Cibles'!AA26,'Pop Cibles'!AE26)+MAX('Pop Cibles'!U26,'Pop Cibles'!W26,'Pop Cibles'!Y26,'Pop Cibles'!AB26,'Pop Cibles'!AF26)</f>
        <v>591130.66298000002</v>
      </c>
      <c r="AH26" s="22">
        <f>IF(SUM('Plan annuel Différentes Maladie'!K:K)&gt;0,0,'Plan annuel Différentes Maladie'!V26*Population!AD26)</f>
        <v>0</v>
      </c>
      <c r="AI26" s="22">
        <f>'Plan annuel Différentes Maladie'!V26*Population!AE26</f>
        <v>125432.06423149997</v>
      </c>
      <c r="AJ26" s="22">
        <f>'Plan annuel Différentes Maladie'!V26*Population!V26*'Page d''accueil'!$F$16</f>
        <v>275950.54130929988</v>
      </c>
      <c r="AK26" s="22">
        <f>'Plan annuel Différentes Maladie'!AC26*Population!X26*'Page d''accueil'!$F$15</f>
        <v>100345.65138519998</v>
      </c>
      <c r="AL26" s="22">
        <f>'Plan annuel Différentes Maladie'!AC26*Population!X26*'Page d''accueil'!$F$16</f>
        <v>220760.43304743993</v>
      </c>
      <c r="AM26" s="22">
        <f>'Plan annuel Différentes Maladie'!AJ26*Population!AE26</f>
        <v>125432.06423149997</v>
      </c>
      <c r="AN26" s="22">
        <f>'Plan annuel Différentes Maladie'!AJ26*Population!AB26</f>
        <v>0</v>
      </c>
      <c r="AO26" s="22">
        <f>'Plan annuel Différentes Maladie'!AQ26*Population!AD26</f>
        <v>80276.521108159985</v>
      </c>
      <c r="AP26" s="22">
        <f>'Plan annuel Différentes Maladie'!AQ26*Population!AE26</f>
        <v>125432.06423149997</v>
      </c>
      <c r="AQ26" s="22">
        <f>'Plan annuel Différentes Maladie'!AQ26*Population!AC26</f>
        <v>401382.60554079991</v>
      </c>
      <c r="AR26" s="22">
        <f>'Plan annuel Différentes Maladie'!AX26*Population!Y26*'Page d''accueil'!$J$14</f>
        <v>0</v>
      </c>
      <c r="AS26" s="22">
        <f>'Plan annuel Différentes Maladie'!AX26*Population!Y26*'Page d''accueil'!$J$15</f>
        <v>0</v>
      </c>
      <c r="AT26" s="22">
        <f>'Plan annuel Différentes Maladie'!AX26*Population!Y26*'Page d''accueil'!$F$15</f>
        <v>0</v>
      </c>
      <c r="AU26" s="22">
        <f>'Plan annuel Différentes Maladie'!AX26*Population!Y26*'Page d''accueil'!$F$16</f>
        <v>0</v>
      </c>
      <c r="AV26" s="22">
        <f>MAX('Pop Cibles'!AH26,'Pop Cibles'!AO26,('Pop Cibles'!AR26+'Pop Cibles'!AS26))+MAX('Pop Cibles'!AI26,'Pop Cibles'!AK26,'Pop Cibles'!AM26,'Pop Cibles'!AP26,'Pop Cibles'!AT26)+MAX('Pop Cibles'!AJ26,'Pop Cibles'!AL26,'Pop Cibles'!AN26,'Pop Cibles'!AQ26,'Pop Cibles'!AU26)</f>
        <v>607091.19088045985</v>
      </c>
      <c r="AW26" s="22">
        <f>IF(SUM('Plan annuel Différentes Maladie'!K:K)&gt;0,0,'Plan annuel Différentes Maladie'!W26*Population!AN26)</f>
        <v>0</v>
      </c>
      <c r="AX26" s="22">
        <f>'Plan annuel Différentes Maladie'!W26*Population!AO26</f>
        <v>128818.72996575046</v>
      </c>
      <c r="AY26" s="22">
        <f>'Plan annuel Différentes Maladie'!W26*Population!AF26*'Page d''accueil'!$F$16</f>
        <v>283401.205924651</v>
      </c>
      <c r="AZ26" s="22">
        <f>'Plan annuel Différentes Maladie'!AD26*Population!AH26*'Page d''accueil'!$F$15</f>
        <v>103054.98397260037</v>
      </c>
      <c r="BA26" s="22">
        <f>'Plan annuel Différentes Maladie'!AD26*Population!AH26*'Page d''accueil'!$F$16</f>
        <v>226720.96473972077</v>
      </c>
      <c r="BB26" s="22">
        <f>'Plan annuel Différentes Maladie'!AK26*Population!AO26</f>
        <v>128818.72996575046</v>
      </c>
      <c r="BC26" s="22">
        <f>'Plan annuel Différentes Maladie'!AK26*Population!AL26</f>
        <v>0</v>
      </c>
      <c r="BD26" s="22">
        <f>'Plan annuel Différentes Maladie'!AR26*Population!AN26</f>
        <v>82443.987178080293</v>
      </c>
      <c r="BE26" s="22">
        <f>'Plan annuel Différentes Maladie'!AR26*Population!AO26</f>
        <v>128818.72996575046</v>
      </c>
      <c r="BF26" s="22">
        <f>'Plan annuel Différentes Maladie'!AR26*Population!AM26</f>
        <v>412219.93589040148</v>
      </c>
      <c r="BG26" s="22">
        <f>'Plan annuel Différentes Maladie'!AY26*Population!AI26*'Page d''accueil'!$J$14</f>
        <v>0</v>
      </c>
      <c r="BH26" s="22">
        <f>'Plan annuel Différentes Maladie'!AY26*Population!AI26*'Page d''accueil'!$J$15</f>
        <v>0</v>
      </c>
      <c r="BI26" s="22">
        <f>'Plan annuel Différentes Maladie'!AY26*Population!AI26*'Page d''accueil'!$F$15</f>
        <v>0</v>
      </c>
      <c r="BJ26" s="22">
        <f>'Plan annuel Différentes Maladie'!AY26*Population!AI26*'Page d''accueil'!$F$16</f>
        <v>0</v>
      </c>
      <c r="BK26" s="22">
        <f>MAX('Pop Cibles'!AW26,'Pop Cibles'!BD26,('Pop Cibles'!BG26+'Pop Cibles'!BH26))+MAX('Pop Cibles'!AX26,'Pop Cibles'!AZ26,'Pop Cibles'!BB26,'Pop Cibles'!BE26,'Pop Cibles'!BI26)+MAX('Pop Cibles'!AY26,'Pop Cibles'!BA26,'Pop Cibles'!BC26,'Pop Cibles'!BF26,'Pop Cibles'!BJ26)</f>
        <v>623482.65303423221</v>
      </c>
      <c r="BL26" s="22">
        <f>IF(SUM('Plan annuel Différentes Maladie'!K:K)&gt;0,0,'Plan annuel Différentes Maladie'!X26*Population!AX26)</f>
        <v>0</v>
      </c>
      <c r="BM26" s="22">
        <f>'Plan annuel Différentes Maladie'!X26*Population!AY26</f>
        <v>132296.83567482571</v>
      </c>
      <c r="BN26" s="22">
        <f>'Plan annuel Différentes Maladie'!X26*Population!AP26*'Page d''accueil'!$F$16</f>
        <v>291053.0384846165</v>
      </c>
      <c r="BO26" s="22">
        <f>'Plan annuel Différentes Maladie'!AE26*Population!AR26*'Page d''accueil'!$F$15</f>
        <v>105837.46853986057</v>
      </c>
      <c r="BP26" s="22">
        <f>'Plan annuel Différentes Maladie'!AE26*Population!AR26*'Page d''accueil'!$F$16</f>
        <v>232842.43078769321</v>
      </c>
      <c r="BQ26" s="22">
        <f>'Plan annuel Différentes Maladie'!AL26*Population!AY26</f>
        <v>132296.83567482571</v>
      </c>
      <c r="BR26" s="22">
        <f>'Plan annuel Différentes Maladie'!AL26*Population!AV26</f>
        <v>0</v>
      </c>
      <c r="BS26" s="22">
        <f>'Plan annuel Différentes Maladie'!AS26*Population!AX26</f>
        <v>84669.974831888452</v>
      </c>
      <c r="BT26" s="22">
        <f>'Plan annuel Différentes Maladie'!AS26*Population!AY26</f>
        <v>132296.83567482571</v>
      </c>
      <c r="BU26" s="22">
        <f>'Plan annuel Différentes Maladie'!AS26*Population!AW26</f>
        <v>423349.87415944226</v>
      </c>
      <c r="BV26" s="22">
        <f>'Plan annuel Différentes Maladie'!AZ26*Population!AS26*'Page d''accueil'!$J$14</f>
        <v>0</v>
      </c>
      <c r="BW26" s="22">
        <f>'Plan annuel Différentes Maladie'!AZ26*Population!AS26*'Page d''accueil'!$J$15</f>
        <v>0</v>
      </c>
      <c r="BX26" s="22">
        <f>'Plan annuel Différentes Maladie'!AZ26*Population!AS26*'Page d''accueil'!$F$15</f>
        <v>0</v>
      </c>
      <c r="BY26" s="22">
        <f>'Plan annuel Différentes Maladie'!AZ26*Population!AS26*'Page d''accueil'!$F$16</f>
        <v>0</v>
      </c>
      <c r="BZ26" s="22">
        <f>MAX('Pop Cibles'!BL26,'Pop Cibles'!BS26,('Pop Cibles'!BV26+'Pop Cibles'!BW26))+MAX('Pop Cibles'!BM26,'Pop Cibles'!BO26,'Pop Cibles'!BQ26,'Pop Cibles'!BT26,'Pop Cibles'!BX26)+MAX('Pop Cibles'!BN26,'Pop Cibles'!BP26,'Pop Cibles'!BR26,'Pop Cibles'!BU26,'Pop Cibles'!BY26)</f>
        <v>640316.68466615642</v>
      </c>
    </row>
    <row r="27" spans="1:78" s="5" customFormat="1" ht="12" customHeight="1">
      <c r="A27" s="19">
        <v>24</v>
      </c>
      <c r="B27" s="21" t="str">
        <f>'Plan annuel Différentes Maladie'!B27</f>
        <v>KINDIA</v>
      </c>
      <c r="C27" s="21" t="str">
        <f>Population!C27</f>
        <v>Télimélé</v>
      </c>
      <c r="D27" s="22">
        <f>IF(SUM('Plan annuel Différentes Maladie'!K:K)&gt;0,0,'Plan annuel Différentes Maladie'!T27*Population!J27)</f>
        <v>0</v>
      </c>
      <c r="E27" s="22">
        <f>'Plan annuel Différentes Maladie'!T27*Population!K27</f>
        <v>79035.5</v>
      </c>
      <c r="F27" s="22">
        <f>'Plan annuel Différentes Maladie'!T27*Population!D27*'Page d''accueil'!$F$16</f>
        <v>173878.09999999998</v>
      </c>
      <c r="G27" s="22">
        <f>'Plan annuel Différentes Maladie'!AA27*Population!F27*'Page d''accueil'!$F$15</f>
        <v>0</v>
      </c>
      <c r="H27" s="22">
        <f>'Plan annuel Différentes Maladie'!AA27*Population!F27*'Page d''accueil'!$F$16</f>
        <v>0</v>
      </c>
      <c r="I27" s="22">
        <f>'Plan annuel Différentes Maladie'!AH27*Population!K27</f>
        <v>0</v>
      </c>
      <c r="J27" s="22">
        <f>'Plan annuel Différentes Maladie'!AH27*Population!H27</f>
        <v>0</v>
      </c>
      <c r="K27" s="22">
        <f>'Plan annuel Différentes Maladie'!AO27*Population!J27</f>
        <v>129618.21999999999</v>
      </c>
      <c r="L27" s="22">
        <f>'Plan annuel Différentes Maladie'!AO27*Population!K27</f>
        <v>79035.5</v>
      </c>
      <c r="M27" s="22">
        <f>'Plan annuel Différentes Maladie'!AO27*Population!I27</f>
        <v>0</v>
      </c>
      <c r="N27" s="22">
        <f>'Plan annuel Différentes Maladie'!AV27*Population!G27*'Page d''accueil'!$J$14</f>
        <v>0</v>
      </c>
      <c r="O27" s="22">
        <f>'Plan annuel Différentes Maladie'!AV27*Population!G27*'Page d''accueil'!$J$15</f>
        <v>0</v>
      </c>
      <c r="P27" s="22">
        <f>'Plan annuel Différentes Maladie'!AV27*Population!G27*'Page d''accueil'!$F$15</f>
        <v>0</v>
      </c>
      <c r="Q27" s="22">
        <f>'Plan annuel Différentes Maladie'!AV27*Population!G27*'Page d''accueil'!$F$16</f>
        <v>0</v>
      </c>
      <c r="R27" s="22">
        <f>MAX('Pop Cibles'!D27,'Pop Cibles'!K27,('Pop Cibles'!N27+'Pop Cibles'!O27))+MAX('Pop Cibles'!E27,'Pop Cibles'!G27,'Pop Cibles'!I27,'Pop Cibles'!L27,'Pop Cibles'!P27)+MAX('Pop Cibles'!F27,'Pop Cibles'!H27,'Pop Cibles'!J27,'Pop Cibles'!M27,'Pop Cibles'!Q27)</f>
        <v>382531.81999999995</v>
      </c>
      <c r="S27" s="22">
        <f>IF(SUM('Plan annuel Différentes Maladie'!K:K)&gt;0,0,'Plan annuel Différentes Maladie'!U27*Population!T27)</f>
        <v>0</v>
      </c>
      <c r="T27" s="22">
        <f>'Plan annuel Différentes Maladie'!U27*Population!U27</f>
        <v>81169.458499999993</v>
      </c>
      <c r="U27" s="22">
        <f>'Plan annuel Différentes Maladie'!U27*Population!L27*'Page d''accueil'!$F$16</f>
        <v>178572.80869999997</v>
      </c>
      <c r="V27" s="22">
        <f>'Plan annuel Différentes Maladie'!AB27*Population!N27*'Page d''accueil'!$F$15</f>
        <v>0</v>
      </c>
      <c r="W27" s="22">
        <f>'Plan annuel Différentes Maladie'!AB27*Population!N27*'Page d''accueil'!$F$16</f>
        <v>0</v>
      </c>
      <c r="X27" s="22">
        <f>'Plan annuel Différentes Maladie'!AI27*Population!U27</f>
        <v>0</v>
      </c>
      <c r="Y27" s="22">
        <f>'Plan annuel Différentes Maladie'!AI27*Population!R27</f>
        <v>0</v>
      </c>
      <c r="Z27" s="22">
        <f>'Plan annuel Différentes Maladie'!AP27*Population!T27</f>
        <v>51948.453439999997</v>
      </c>
      <c r="AA27" s="22">
        <f>'Plan annuel Différentes Maladie'!AP27*Population!U27</f>
        <v>81169.458499999993</v>
      </c>
      <c r="AB27" s="22">
        <f>'Plan annuel Différentes Maladie'!AP27*Population!S27</f>
        <v>0</v>
      </c>
      <c r="AC27" s="22">
        <f>'Plan annuel Différentes Maladie'!AW27*Population!Q27*'Page d''accueil'!$J$14</f>
        <v>0</v>
      </c>
      <c r="AD27" s="22">
        <f>'Plan annuel Différentes Maladie'!AW27*Population!Q27*'Page d''accueil'!$J$15</f>
        <v>0</v>
      </c>
      <c r="AE27" s="22">
        <f>'Plan annuel Différentes Maladie'!AW27*Population!Q27*'Page d''accueil'!$F$15</f>
        <v>0</v>
      </c>
      <c r="AF27" s="22">
        <f>'Plan annuel Différentes Maladie'!AW27*Population!Q27*'Page d''accueil'!$F$16</f>
        <v>0</v>
      </c>
      <c r="AG27" s="22">
        <f>MAX('Pop Cibles'!S27,'Pop Cibles'!Z27,('Pop Cibles'!AC27+'Pop Cibles'!AD27))+MAX('Pop Cibles'!T27,'Pop Cibles'!V27,'Pop Cibles'!X27,'Pop Cibles'!AA27,'Pop Cibles'!AE27)+MAX('Pop Cibles'!U27,'Pop Cibles'!W27,'Pop Cibles'!Y27,'Pop Cibles'!AB27,'Pop Cibles'!AF27)</f>
        <v>311690.72063999996</v>
      </c>
      <c r="AH27" s="22">
        <f>IF(SUM('Plan annuel Différentes Maladie'!K:K)&gt;0,0,'Plan annuel Différentes Maladie'!V27*Population!AD27)</f>
        <v>0</v>
      </c>
      <c r="AI27" s="22">
        <f>'Plan annuel Différentes Maladie'!V27*Population!AE27</f>
        <v>83361.033879499984</v>
      </c>
      <c r="AJ27" s="22">
        <f>'Plan annuel Différentes Maladie'!V27*Population!V27*'Page d''accueil'!$F$16</f>
        <v>183394.27453489995</v>
      </c>
      <c r="AK27" s="22">
        <f>'Plan annuel Différentes Maladie'!AC27*Population!X27*'Page d''accueil'!$F$15</f>
        <v>0</v>
      </c>
      <c r="AL27" s="22">
        <f>'Plan annuel Différentes Maladie'!AC27*Population!X27*'Page d''accueil'!$F$16</f>
        <v>0</v>
      </c>
      <c r="AM27" s="22">
        <f>'Plan annuel Différentes Maladie'!AJ27*Population!AE27</f>
        <v>83361.033879499984</v>
      </c>
      <c r="AN27" s="22">
        <f>'Plan annuel Différentes Maladie'!AJ27*Population!AB27</f>
        <v>0</v>
      </c>
      <c r="AO27" s="22">
        <f>'Plan annuel Différentes Maladie'!AQ27*Population!AD27</f>
        <v>53351.06168287999</v>
      </c>
      <c r="AP27" s="22">
        <f>'Plan annuel Différentes Maladie'!AQ27*Population!AE27</f>
        <v>83361.033879499984</v>
      </c>
      <c r="AQ27" s="22">
        <f>'Plan annuel Différentes Maladie'!AQ27*Population!AC27</f>
        <v>0</v>
      </c>
      <c r="AR27" s="22">
        <f>'Plan annuel Différentes Maladie'!AX27*Population!Y27*'Page d''accueil'!$J$14</f>
        <v>0</v>
      </c>
      <c r="AS27" s="22">
        <f>'Plan annuel Différentes Maladie'!AX27*Population!Y27*'Page d''accueil'!$J$15</f>
        <v>0</v>
      </c>
      <c r="AT27" s="22">
        <f>'Plan annuel Différentes Maladie'!AX27*Population!Y27*'Page d''accueil'!$F$15</f>
        <v>0</v>
      </c>
      <c r="AU27" s="22">
        <f>'Plan annuel Différentes Maladie'!AX27*Population!Y27*'Page d''accueil'!$F$16</f>
        <v>0</v>
      </c>
      <c r="AV27" s="22">
        <f>MAX('Pop Cibles'!AH27,'Pop Cibles'!AO27,('Pop Cibles'!AR27+'Pop Cibles'!AS27))+MAX('Pop Cibles'!AI27,'Pop Cibles'!AK27,'Pop Cibles'!AM27,'Pop Cibles'!AP27,'Pop Cibles'!AT27)+MAX('Pop Cibles'!AJ27,'Pop Cibles'!AL27,'Pop Cibles'!AN27,'Pop Cibles'!AQ27,'Pop Cibles'!AU27)</f>
        <v>320106.3700972799</v>
      </c>
      <c r="AW27" s="22">
        <f>IF(SUM('Plan annuel Différentes Maladie'!K:K)&gt;0,0,'Plan annuel Différentes Maladie'!W27*Population!AN27)</f>
        <v>0</v>
      </c>
      <c r="AX27" s="22">
        <f>'Plan annuel Différentes Maladie'!W27*Population!AO27</f>
        <v>85611.781794246475</v>
      </c>
      <c r="AY27" s="22">
        <f>'Plan annuel Différentes Maladie'!W27*Population!AF27*'Page d''accueil'!$F$16</f>
        <v>188345.91994734222</v>
      </c>
      <c r="AZ27" s="22">
        <f>'Plan annuel Différentes Maladie'!AD27*Population!AH27*'Page d''accueil'!$F$15</f>
        <v>0</v>
      </c>
      <c r="BA27" s="22">
        <f>'Plan annuel Différentes Maladie'!AD27*Population!AH27*'Page d''accueil'!$F$16</f>
        <v>0</v>
      </c>
      <c r="BB27" s="22">
        <f>'Plan annuel Différentes Maladie'!AK27*Population!AO27</f>
        <v>0</v>
      </c>
      <c r="BC27" s="22">
        <f>'Plan annuel Différentes Maladie'!AK27*Population!AL27</f>
        <v>0</v>
      </c>
      <c r="BD27" s="22">
        <f>'Plan annuel Différentes Maladie'!AR27*Population!AN27</f>
        <v>54791.540348317743</v>
      </c>
      <c r="BE27" s="22">
        <f>'Plan annuel Différentes Maladie'!AR27*Population!AO27</f>
        <v>85611.781794246475</v>
      </c>
      <c r="BF27" s="22">
        <f>'Plan annuel Différentes Maladie'!AR27*Population!AM27</f>
        <v>0</v>
      </c>
      <c r="BG27" s="22">
        <f>'Plan annuel Différentes Maladie'!AY27*Population!AI27*'Page d''accueil'!$J$14</f>
        <v>0</v>
      </c>
      <c r="BH27" s="22">
        <f>'Plan annuel Différentes Maladie'!AY27*Population!AI27*'Page d''accueil'!$J$15</f>
        <v>0</v>
      </c>
      <c r="BI27" s="22">
        <f>'Plan annuel Différentes Maladie'!AY27*Population!AI27*'Page d''accueil'!$F$15</f>
        <v>0</v>
      </c>
      <c r="BJ27" s="22">
        <f>'Plan annuel Différentes Maladie'!AY27*Population!AI27*'Page d''accueil'!$F$16</f>
        <v>0</v>
      </c>
      <c r="BK27" s="22">
        <f>MAX('Pop Cibles'!AW27,'Pop Cibles'!BD27,('Pop Cibles'!BG27+'Pop Cibles'!BH27))+MAX('Pop Cibles'!AX27,'Pop Cibles'!AZ27,'Pop Cibles'!BB27,'Pop Cibles'!BE27,'Pop Cibles'!BI27)+MAX('Pop Cibles'!AY27,'Pop Cibles'!BA27,'Pop Cibles'!BC27,'Pop Cibles'!BF27,'Pop Cibles'!BJ27)</f>
        <v>328749.24208990647</v>
      </c>
      <c r="BL27" s="22">
        <f>IF(SUM('Plan annuel Différentes Maladie'!K:K)&gt;0,0,'Plan annuel Différentes Maladie'!X27*Population!AX27)</f>
        <v>0</v>
      </c>
      <c r="BM27" s="22">
        <f>'Plan annuel Différentes Maladie'!X27*Population!AY27</f>
        <v>87923.299902691127</v>
      </c>
      <c r="BN27" s="22">
        <f>'Plan annuel Différentes Maladie'!X27*Population!AP27*'Page d''accueil'!$F$16</f>
        <v>193431.25978592047</v>
      </c>
      <c r="BO27" s="22">
        <f>'Plan annuel Différentes Maladie'!AE27*Population!AR27*'Page d''accueil'!$F$15</f>
        <v>0</v>
      </c>
      <c r="BP27" s="22">
        <f>'Plan annuel Différentes Maladie'!AE27*Population!AR27*'Page d''accueil'!$F$16</f>
        <v>0</v>
      </c>
      <c r="BQ27" s="22">
        <f>'Plan annuel Différentes Maladie'!AL27*Population!AY27</f>
        <v>0</v>
      </c>
      <c r="BR27" s="22">
        <f>'Plan annuel Différentes Maladie'!AL27*Population!AV27</f>
        <v>0</v>
      </c>
      <c r="BS27" s="22">
        <f>'Plan annuel Différentes Maladie'!AS27*Population!AX27</f>
        <v>56270.911937722325</v>
      </c>
      <c r="BT27" s="22">
        <f>'Plan annuel Différentes Maladie'!AS27*Population!AY27</f>
        <v>87923.299902691127</v>
      </c>
      <c r="BU27" s="22">
        <f>'Plan annuel Différentes Maladie'!AS27*Population!AW27</f>
        <v>0</v>
      </c>
      <c r="BV27" s="22">
        <f>'Plan annuel Différentes Maladie'!AZ27*Population!AS27*'Page d''accueil'!$J$14</f>
        <v>0</v>
      </c>
      <c r="BW27" s="22">
        <f>'Plan annuel Différentes Maladie'!AZ27*Population!AS27*'Page d''accueil'!$J$15</f>
        <v>0</v>
      </c>
      <c r="BX27" s="22">
        <f>'Plan annuel Différentes Maladie'!AZ27*Population!AS27*'Page d''accueil'!$F$15</f>
        <v>0</v>
      </c>
      <c r="BY27" s="22">
        <f>'Plan annuel Différentes Maladie'!AZ27*Population!AS27*'Page d''accueil'!$F$16</f>
        <v>0</v>
      </c>
      <c r="BZ27" s="22">
        <f>MAX('Pop Cibles'!BL27,'Pop Cibles'!BS27,('Pop Cibles'!BV27+'Pop Cibles'!BW27))+MAX('Pop Cibles'!BM27,'Pop Cibles'!BO27,'Pop Cibles'!BQ27,'Pop Cibles'!BT27,'Pop Cibles'!BX27)+MAX('Pop Cibles'!BN27,'Pop Cibles'!BP27,'Pop Cibles'!BR27,'Pop Cibles'!BU27,'Pop Cibles'!BY27)</f>
        <v>337625.47162633389</v>
      </c>
    </row>
    <row r="28" spans="1:78" s="5" customFormat="1" ht="12" customHeight="1">
      <c r="A28" s="19">
        <v>25</v>
      </c>
      <c r="B28" s="21" t="str">
        <f>'Plan annuel Différentes Maladie'!B28</f>
        <v>LABE</v>
      </c>
      <c r="C28" s="21" t="str">
        <f>Population!C28</f>
        <v>Koubia</v>
      </c>
      <c r="D28" s="22">
        <f>IF(SUM('Plan annuel Différentes Maladie'!K:K)&gt;0,0,'Plan annuel Différentes Maladie'!T28*Population!J28)</f>
        <v>0</v>
      </c>
      <c r="E28" s="22">
        <f>'Plan annuel Différentes Maladie'!T28*Population!K28</f>
        <v>0</v>
      </c>
      <c r="F28" s="22">
        <f>'Plan annuel Différentes Maladie'!T28*Population!D28*'Page d''accueil'!$F$16</f>
        <v>0</v>
      </c>
      <c r="G28" s="22">
        <f>'Plan annuel Différentes Maladie'!AA28*Population!F28*'Page d''accueil'!$F$15</f>
        <v>0</v>
      </c>
      <c r="H28" s="22">
        <f>'Plan annuel Différentes Maladie'!AA28*Population!F28*'Page d''accueil'!$F$16</f>
        <v>0</v>
      </c>
      <c r="I28" s="22">
        <f>'Plan annuel Différentes Maladie'!AH28*Population!K28</f>
        <v>28037.25</v>
      </c>
      <c r="J28" s="22">
        <f>'Plan annuel Différentes Maladie'!AH28*Population!H28</f>
        <v>0</v>
      </c>
      <c r="K28" s="22">
        <f>'Plan annuel Différentes Maladie'!AO28*Population!J28</f>
        <v>0</v>
      </c>
      <c r="L28" s="22">
        <f>'Plan annuel Différentes Maladie'!AO28*Population!K28</f>
        <v>0</v>
      </c>
      <c r="M28" s="22">
        <f>'Plan annuel Différentes Maladie'!AO28*Population!I28</f>
        <v>0</v>
      </c>
      <c r="N28" s="22">
        <f>'Plan annuel Différentes Maladie'!AV28*Population!G28*'Page d''accueil'!$J$14</f>
        <v>0</v>
      </c>
      <c r="O28" s="22">
        <f>'Plan annuel Différentes Maladie'!AV28*Population!G28*'Page d''accueil'!$J$15</f>
        <v>0</v>
      </c>
      <c r="P28" s="22">
        <f>'Plan annuel Différentes Maladie'!AV28*Population!G28*'Page d''accueil'!$F$15</f>
        <v>0</v>
      </c>
      <c r="Q28" s="22">
        <f>'Plan annuel Différentes Maladie'!AV28*Population!G28*'Page d''accueil'!$F$16</f>
        <v>0</v>
      </c>
      <c r="R28" s="22">
        <f>MAX('Pop Cibles'!D28,'Pop Cibles'!K28,('Pop Cibles'!N28+'Pop Cibles'!O28))+MAX('Pop Cibles'!E28,'Pop Cibles'!G28,'Pop Cibles'!I28,'Pop Cibles'!L28,'Pop Cibles'!P28)+MAX('Pop Cibles'!F28,'Pop Cibles'!H28,'Pop Cibles'!J28,'Pop Cibles'!M28,'Pop Cibles'!Q28)</f>
        <v>28037.25</v>
      </c>
      <c r="S28" s="22">
        <f>IF(SUM('Plan annuel Différentes Maladie'!K:K)&gt;0,0,'Plan annuel Différentes Maladie'!U28*Population!T28)</f>
        <v>0</v>
      </c>
      <c r="T28" s="22">
        <f>'Plan annuel Différentes Maladie'!U28*Population!U28</f>
        <v>0</v>
      </c>
      <c r="U28" s="22">
        <f>'Plan annuel Différentes Maladie'!U28*Population!L28*'Page d''accueil'!$F$16</f>
        <v>0</v>
      </c>
      <c r="V28" s="22">
        <f>'Plan annuel Différentes Maladie'!AB28*Population!N28*'Page d''accueil'!$F$15</f>
        <v>0</v>
      </c>
      <c r="W28" s="22">
        <f>'Plan annuel Différentes Maladie'!AB28*Population!N28*'Page d''accueil'!$F$16</f>
        <v>0</v>
      </c>
      <c r="X28" s="22">
        <f>'Plan annuel Différentes Maladie'!AI28*Population!U28</f>
        <v>0</v>
      </c>
      <c r="Y28" s="22">
        <f>'Plan annuel Différentes Maladie'!AI28*Population!R28</f>
        <v>0</v>
      </c>
      <c r="Z28" s="22">
        <f>'Plan annuel Différentes Maladie'!AP28*Population!T28</f>
        <v>0</v>
      </c>
      <c r="AA28" s="22">
        <f>'Plan annuel Différentes Maladie'!AP28*Population!U28</f>
        <v>0</v>
      </c>
      <c r="AB28" s="22">
        <f>'Plan annuel Différentes Maladie'!AP28*Population!S28</f>
        <v>0</v>
      </c>
      <c r="AC28" s="22">
        <f>'Plan annuel Différentes Maladie'!AW28*Population!Q28*'Page d''accueil'!$J$14</f>
        <v>0</v>
      </c>
      <c r="AD28" s="22">
        <f>'Plan annuel Différentes Maladie'!AW28*Population!Q28*'Page d''accueil'!$J$15</f>
        <v>0</v>
      </c>
      <c r="AE28" s="22">
        <f>'Plan annuel Différentes Maladie'!AW28*Population!Q28*'Page d''accueil'!$F$15</f>
        <v>0</v>
      </c>
      <c r="AF28" s="22">
        <f>'Plan annuel Différentes Maladie'!AW28*Population!Q28*'Page d''accueil'!$F$16</f>
        <v>0</v>
      </c>
      <c r="AG28" s="22">
        <f>MAX('Pop Cibles'!S28,'Pop Cibles'!Z28,('Pop Cibles'!AC28+'Pop Cibles'!AD28))+MAX('Pop Cibles'!T28,'Pop Cibles'!V28,'Pop Cibles'!X28,'Pop Cibles'!AA28,'Pop Cibles'!AE28)+MAX('Pop Cibles'!U28,'Pop Cibles'!W28,'Pop Cibles'!Y28,'Pop Cibles'!AB28,'Pop Cibles'!AF28)</f>
        <v>0</v>
      </c>
      <c r="AH28" s="22">
        <f>IF(SUM('Plan annuel Différentes Maladie'!K:K)&gt;0,0,'Plan annuel Différentes Maladie'!V28*Population!AD28)</f>
        <v>0</v>
      </c>
      <c r="AI28" s="22">
        <f>'Plan annuel Différentes Maladie'!V28*Population!AE28</f>
        <v>0</v>
      </c>
      <c r="AJ28" s="22">
        <f>'Plan annuel Différentes Maladie'!V28*Population!V28*'Page d''accueil'!$F$16</f>
        <v>0</v>
      </c>
      <c r="AK28" s="22">
        <f>'Plan annuel Différentes Maladie'!AC28*Population!X28*'Page d''accueil'!$F$15</f>
        <v>0</v>
      </c>
      <c r="AL28" s="22">
        <f>'Plan annuel Différentes Maladie'!AC28*Population!X28*'Page d''accueil'!$F$16</f>
        <v>0</v>
      </c>
      <c r="AM28" s="22">
        <f>'Plan annuel Différentes Maladie'!AJ28*Population!AE28</f>
        <v>29571.700655249995</v>
      </c>
      <c r="AN28" s="22">
        <f>'Plan annuel Différentes Maladie'!AJ28*Population!AB28</f>
        <v>0</v>
      </c>
      <c r="AO28" s="22">
        <f>'Plan annuel Différentes Maladie'!AQ28*Population!AD28</f>
        <v>0</v>
      </c>
      <c r="AP28" s="22">
        <f>'Plan annuel Différentes Maladie'!AQ28*Population!AE28</f>
        <v>0</v>
      </c>
      <c r="AQ28" s="22">
        <f>'Plan annuel Différentes Maladie'!AQ28*Population!AC28</f>
        <v>0</v>
      </c>
      <c r="AR28" s="22">
        <f>'Plan annuel Différentes Maladie'!AX28*Population!Y28*'Page d''accueil'!$J$14</f>
        <v>0</v>
      </c>
      <c r="AS28" s="22">
        <f>'Plan annuel Différentes Maladie'!AX28*Population!Y28*'Page d''accueil'!$J$15</f>
        <v>0</v>
      </c>
      <c r="AT28" s="22">
        <f>'Plan annuel Différentes Maladie'!AX28*Population!Y28*'Page d''accueil'!$F$15</f>
        <v>0</v>
      </c>
      <c r="AU28" s="22">
        <f>'Plan annuel Différentes Maladie'!AX28*Population!Y28*'Page d''accueil'!$F$16</f>
        <v>0</v>
      </c>
      <c r="AV28" s="22">
        <f>MAX('Pop Cibles'!AH28,'Pop Cibles'!AO28,('Pop Cibles'!AR28+'Pop Cibles'!AS28))+MAX('Pop Cibles'!AI28,'Pop Cibles'!AK28,'Pop Cibles'!AM28,'Pop Cibles'!AP28,'Pop Cibles'!AT28)+MAX('Pop Cibles'!AJ28,'Pop Cibles'!AL28,'Pop Cibles'!AN28,'Pop Cibles'!AQ28,'Pop Cibles'!AU28)</f>
        <v>29571.700655249995</v>
      </c>
      <c r="AW28" s="22">
        <f>IF(SUM('Plan annuel Différentes Maladie'!K:K)&gt;0,0,'Plan annuel Différentes Maladie'!W28*Population!AN28)</f>
        <v>0</v>
      </c>
      <c r="AX28" s="22">
        <f>'Plan annuel Différentes Maladie'!W28*Population!AO28</f>
        <v>0</v>
      </c>
      <c r="AY28" s="22">
        <f>'Plan annuel Différentes Maladie'!W28*Population!AF28*'Page d''accueil'!$F$16</f>
        <v>0</v>
      </c>
      <c r="AZ28" s="22">
        <f>'Plan annuel Différentes Maladie'!AD28*Population!AH28*'Page d''accueil'!$F$15</f>
        <v>0</v>
      </c>
      <c r="BA28" s="22">
        <f>'Plan annuel Différentes Maladie'!AD28*Population!AH28*'Page d''accueil'!$F$16</f>
        <v>0</v>
      </c>
      <c r="BB28" s="22">
        <f>'Plan annuel Différentes Maladie'!AK28*Population!AO28</f>
        <v>0</v>
      </c>
      <c r="BC28" s="22">
        <f>'Plan annuel Différentes Maladie'!AK28*Population!AL28</f>
        <v>0</v>
      </c>
      <c r="BD28" s="22">
        <f>'Plan annuel Différentes Maladie'!AR28*Population!AN28</f>
        <v>0</v>
      </c>
      <c r="BE28" s="22">
        <f>'Plan annuel Différentes Maladie'!AR28*Population!AO28</f>
        <v>0</v>
      </c>
      <c r="BF28" s="22">
        <f>'Plan annuel Différentes Maladie'!AR28*Population!AM28</f>
        <v>0</v>
      </c>
      <c r="BG28" s="22">
        <f>'Plan annuel Différentes Maladie'!AY28*Population!AI28*'Page d''accueil'!$J$14</f>
        <v>0</v>
      </c>
      <c r="BH28" s="22">
        <f>'Plan annuel Différentes Maladie'!AY28*Population!AI28*'Page d''accueil'!$J$15</f>
        <v>0</v>
      </c>
      <c r="BI28" s="22">
        <f>'Plan annuel Différentes Maladie'!AY28*Population!AI28*'Page d''accueil'!$F$15</f>
        <v>0</v>
      </c>
      <c r="BJ28" s="22">
        <f>'Plan annuel Différentes Maladie'!AY28*Population!AI28*'Page d''accueil'!$F$16</f>
        <v>0</v>
      </c>
      <c r="BK28" s="22">
        <f>MAX('Pop Cibles'!AW28,'Pop Cibles'!BD28,('Pop Cibles'!BG28+'Pop Cibles'!BH28))+MAX('Pop Cibles'!AX28,'Pop Cibles'!AZ28,'Pop Cibles'!BB28,'Pop Cibles'!BE28,'Pop Cibles'!BI28)+MAX('Pop Cibles'!AY28,'Pop Cibles'!BA28,'Pop Cibles'!BC28,'Pop Cibles'!BF28,'Pop Cibles'!BJ28)</f>
        <v>0</v>
      </c>
      <c r="BL28" s="22">
        <f>IF(SUM('Plan annuel Différentes Maladie'!K:K)&gt;0,0,'Plan annuel Différentes Maladie'!X28*Population!AX28)</f>
        <v>0</v>
      </c>
      <c r="BM28" s="22">
        <f>'Plan annuel Différentes Maladie'!X28*Population!AY28</f>
        <v>0</v>
      </c>
      <c r="BN28" s="22">
        <f>'Plan annuel Différentes Maladie'!X28*Population!AP28*'Page d''accueil'!$F$16</f>
        <v>0</v>
      </c>
      <c r="BO28" s="22">
        <f>'Plan annuel Différentes Maladie'!AE28*Population!AR28*'Page d''accueil'!$F$15</f>
        <v>0</v>
      </c>
      <c r="BP28" s="22">
        <f>'Plan annuel Différentes Maladie'!AE28*Population!AR28*'Page d''accueil'!$F$16</f>
        <v>0</v>
      </c>
      <c r="BQ28" s="22">
        <f>'Plan annuel Différentes Maladie'!AL28*Population!AY28</f>
        <v>31190.130260411166</v>
      </c>
      <c r="BR28" s="22">
        <f>'Plan annuel Différentes Maladie'!AL28*Population!AV28</f>
        <v>0</v>
      </c>
      <c r="BS28" s="22">
        <f>'Plan annuel Différentes Maladie'!AS28*Population!AX28</f>
        <v>0</v>
      </c>
      <c r="BT28" s="22">
        <f>'Plan annuel Différentes Maladie'!AS28*Population!AY28</f>
        <v>0</v>
      </c>
      <c r="BU28" s="22">
        <f>'Plan annuel Différentes Maladie'!AS28*Population!AW28</f>
        <v>0</v>
      </c>
      <c r="BV28" s="22">
        <f>'Plan annuel Différentes Maladie'!AZ28*Population!AS28*'Page d''accueil'!$J$14</f>
        <v>0</v>
      </c>
      <c r="BW28" s="22">
        <f>'Plan annuel Différentes Maladie'!AZ28*Population!AS28*'Page d''accueil'!$J$15</f>
        <v>0</v>
      </c>
      <c r="BX28" s="22">
        <f>'Plan annuel Différentes Maladie'!AZ28*Population!AS28*'Page d''accueil'!$F$15</f>
        <v>0</v>
      </c>
      <c r="BY28" s="22">
        <f>'Plan annuel Différentes Maladie'!AZ28*Population!AS28*'Page d''accueil'!$F$16</f>
        <v>0</v>
      </c>
      <c r="BZ28" s="22">
        <f>MAX('Pop Cibles'!BL28,'Pop Cibles'!BS28,('Pop Cibles'!BV28+'Pop Cibles'!BW28))+MAX('Pop Cibles'!BM28,'Pop Cibles'!BO28,'Pop Cibles'!BQ28,'Pop Cibles'!BT28,'Pop Cibles'!BX28)+MAX('Pop Cibles'!BN28,'Pop Cibles'!BP28,'Pop Cibles'!BR28,'Pop Cibles'!BU28,'Pop Cibles'!BY28)</f>
        <v>31190.130260411166</v>
      </c>
    </row>
    <row r="29" spans="1:78" s="5" customFormat="1" ht="12" customHeight="1">
      <c r="A29" s="19">
        <v>26</v>
      </c>
      <c r="B29" s="21" t="str">
        <f>'Plan annuel Différentes Maladie'!B29</f>
        <v>LABE</v>
      </c>
      <c r="C29" s="21" t="str">
        <f>Population!C29</f>
        <v>Labé</v>
      </c>
      <c r="D29" s="22">
        <f>IF(SUM('Plan annuel Différentes Maladie'!K:K)&gt;0,0,'Plan annuel Différentes Maladie'!T29*Population!J29)</f>
        <v>0</v>
      </c>
      <c r="E29" s="22">
        <f>'Plan annuel Différentes Maladie'!T29*Population!K29</f>
        <v>0</v>
      </c>
      <c r="F29" s="22">
        <f>'Plan annuel Différentes Maladie'!T29*Population!D29*'Page d''accueil'!$F$16</f>
        <v>0</v>
      </c>
      <c r="G29" s="22">
        <f>'Plan annuel Différentes Maladie'!AA29*Population!F29*'Page d''accueil'!$F$15</f>
        <v>0</v>
      </c>
      <c r="H29" s="22">
        <f>'Plan annuel Différentes Maladie'!AA29*Population!F29*'Page d''accueil'!$F$16</f>
        <v>0</v>
      </c>
      <c r="I29" s="22">
        <f>'Plan annuel Différentes Maladie'!AH29*Population!K29</f>
        <v>0</v>
      </c>
      <c r="J29" s="22">
        <f>'Plan annuel Différentes Maladie'!AH29*Population!H29</f>
        <v>0</v>
      </c>
      <c r="K29" s="22">
        <f>'Plan annuel Différentes Maladie'!AO29*Population!J29</f>
        <v>0</v>
      </c>
      <c r="L29" s="22">
        <f>'Plan annuel Différentes Maladie'!AO29*Population!K29</f>
        <v>0</v>
      </c>
      <c r="M29" s="22">
        <f>'Plan annuel Différentes Maladie'!AO29*Population!I29</f>
        <v>0</v>
      </c>
      <c r="N29" s="22">
        <f>'Plan annuel Différentes Maladie'!AV29*Population!G29*'Page d''accueil'!$J$14</f>
        <v>0</v>
      </c>
      <c r="O29" s="22">
        <f>'Plan annuel Différentes Maladie'!AV29*Population!G29*'Page d''accueil'!$J$15</f>
        <v>0</v>
      </c>
      <c r="P29" s="22">
        <f>'Plan annuel Différentes Maladie'!AV29*Population!G29*'Page d''accueil'!$F$15</f>
        <v>0</v>
      </c>
      <c r="Q29" s="22">
        <f>'Plan annuel Différentes Maladie'!AV29*Population!G29*'Page d''accueil'!$F$16</f>
        <v>0</v>
      </c>
      <c r="R29" s="22">
        <f>MAX('Pop Cibles'!D29,'Pop Cibles'!K29,('Pop Cibles'!N29+'Pop Cibles'!O29))+MAX('Pop Cibles'!E29,'Pop Cibles'!G29,'Pop Cibles'!I29,'Pop Cibles'!L29,'Pop Cibles'!P29)+MAX('Pop Cibles'!F29,'Pop Cibles'!H29,'Pop Cibles'!J29,'Pop Cibles'!M29,'Pop Cibles'!Q29)</f>
        <v>0</v>
      </c>
      <c r="S29" s="22">
        <f>IF(SUM('Plan annuel Différentes Maladie'!K:K)&gt;0,0,'Plan annuel Différentes Maladie'!U29*Population!T29)</f>
        <v>0</v>
      </c>
      <c r="T29" s="22">
        <f>'Plan annuel Différentes Maladie'!U29*Population!U29</f>
        <v>0</v>
      </c>
      <c r="U29" s="22">
        <f>'Plan annuel Différentes Maladie'!U29*Population!L29*'Page d''accueil'!$F$16</f>
        <v>0</v>
      </c>
      <c r="V29" s="22">
        <f>'Plan annuel Différentes Maladie'!AB29*Population!N29*'Page d''accueil'!$F$15</f>
        <v>0</v>
      </c>
      <c r="W29" s="22">
        <f>'Plan annuel Différentes Maladie'!AB29*Population!N29*'Page d''accueil'!$F$16</f>
        <v>0</v>
      </c>
      <c r="X29" s="22">
        <f>'Plan annuel Différentes Maladie'!AI29*Population!U29</f>
        <v>0</v>
      </c>
      <c r="Y29" s="22">
        <f>'Plan annuel Différentes Maladie'!AI29*Population!R29</f>
        <v>0</v>
      </c>
      <c r="Z29" s="22">
        <f>'Plan annuel Différentes Maladie'!AP29*Population!T29</f>
        <v>0</v>
      </c>
      <c r="AA29" s="22">
        <f>'Plan annuel Différentes Maladie'!AP29*Population!U29</f>
        <v>0</v>
      </c>
      <c r="AB29" s="22">
        <f>'Plan annuel Différentes Maladie'!AP29*Population!S29</f>
        <v>0</v>
      </c>
      <c r="AC29" s="22">
        <f>'Plan annuel Différentes Maladie'!AW29*Population!Q29*'Page d''accueil'!$J$14</f>
        <v>0</v>
      </c>
      <c r="AD29" s="22">
        <f>'Plan annuel Différentes Maladie'!AW29*Population!Q29*'Page d''accueil'!$J$15</f>
        <v>0</v>
      </c>
      <c r="AE29" s="22">
        <f>'Plan annuel Différentes Maladie'!AW29*Population!Q29*'Page d''accueil'!$F$15</f>
        <v>0</v>
      </c>
      <c r="AF29" s="22">
        <f>'Plan annuel Différentes Maladie'!AW29*Population!Q29*'Page d''accueil'!$F$16</f>
        <v>0</v>
      </c>
      <c r="AG29" s="22">
        <f>MAX('Pop Cibles'!S29,'Pop Cibles'!Z29,('Pop Cibles'!AC29+'Pop Cibles'!AD29))+MAX('Pop Cibles'!T29,'Pop Cibles'!V29,'Pop Cibles'!X29,'Pop Cibles'!AA29,'Pop Cibles'!AE29)+MAX('Pop Cibles'!U29,'Pop Cibles'!W29,'Pop Cibles'!Y29,'Pop Cibles'!AB29,'Pop Cibles'!AF29)</f>
        <v>0</v>
      </c>
      <c r="AH29" s="22">
        <f>IF(SUM('Plan annuel Différentes Maladie'!K:K)&gt;0,0,'Plan annuel Différentes Maladie'!V29*Population!AD29)</f>
        <v>0</v>
      </c>
      <c r="AI29" s="22">
        <f>'Plan annuel Différentes Maladie'!V29*Population!AE29</f>
        <v>0</v>
      </c>
      <c r="AJ29" s="22">
        <f>'Plan annuel Différentes Maladie'!V29*Population!V29*'Page d''accueil'!$F$16</f>
        <v>0</v>
      </c>
      <c r="AK29" s="22">
        <f>'Plan annuel Différentes Maladie'!AC29*Population!X29*'Page d''accueil'!$F$15</f>
        <v>0</v>
      </c>
      <c r="AL29" s="22">
        <f>'Plan annuel Différentes Maladie'!AC29*Population!X29*'Page d''accueil'!$F$16</f>
        <v>0</v>
      </c>
      <c r="AM29" s="22">
        <f>'Plan annuel Différentes Maladie'!AJ29*Population!AE29</f>
        <v>97378.645971749982</v>
      </c>
      <c r="AN29" s="22">
        <f>'Plan annuel Différentes Maladie'!AJ29*Population!AB29</f>
        <v>0</v>
      </c>
      <c r="AO29" s="22">
        <f>'Plan annuel Différentes Maladie'!AQ29*Population!AD29</f>
        <v>0</v>
      </c>
      <c r="AP29" s="22">
        <f>'Plan annuel Différentes Maladie'!AQ29*Population!AE29</f>
        <v>0</v>
      </c>
      <c r="AQ29" s="22">
        <f>'Plan annuel Différentes Maladie'!AQ29*Population!AC29</f>
        <v>0</v>
      </c>
      <c r="AR29" s="22">
        <f>'Plan annuel Différentes Maladie'!AX29*Population!Y29*'Page d''accueil'!$J$14</f>
        <v>0</v>
      </c>
      <c r="AS29" s="22">
        <f>'Plan annuel Différentes Maladie'!AX29*Population!Y29*'Page d''accueil'!$J$15</f>
        <v>0</v>
      </c>
      <c r="AT29" s="22">
        <f>'Plan annuel Différentes Maladie'!AX29*Population!Y29*'Page d''accueil'!$F$15</f>
        <v>0</v>
      </c>
      <c r="AU29" s="22">
        <f>'Plan annuel Différentes Maladie'!AX29*Population!Y29*'Page d''accueil'!$F$16</f>
        <v>0</v>
      </c>
      <c r="AV29" s="22">
        <f>MAX('Pop Cibles'!AH29,'Pop Cibles'!AO29,('Pop Cibles'!AR29+'Pop Cibles'!AS29))+MAX('Pop Cibles'!AI29,'Pop Cibles'!AK29,'Pop Cibles'!AM29,'Pop Cibles'!AP29,'Pop Cibles'!AT29)+MAX('Pop Cibles'!AJ29,'Pop Cibles'!AL29,'Pop Cibles'!AN29,'Pop Cibles'!AQ29,'Pop Cibles'!AU29)</f>
        <v>97378.645971749982</v>
      </c>
      <c r="AW29" s="22">
        <f>IF(SUM('Plan annuel Différentes Maladie'!K:K)&gt;0,0,'Plan annuel Différentes Maladie'!W29*Population!AN29)</f>
        <v>0</v>
      </c>
      <c r="AX29" s="22">
        <f>'Plan annuel Différentes Maladie'!W29*Population!AO29</f>
        <v>0</v>
      </c>
      <c r="AY29" s="22">
        <f>'Plan annuel Différentes Maladie'!W29*Population!AF29*'Page d''accueil'!$F$16</f>
        <v>0</v>
      </c>
      <c r="AZ29" s="22">
        <f>'Plan annuel Différentes Maladie'!AD29*Population!AH29*'Page d''accueil'!$F$15</f>
        <v>0</v>
      </c>
      <c r="BA29" s="22">
        <f>'Plan annuel Différentes Maladie'!AD29*Population!AH29*'Page d''accueil'!$F$16</f>
        <v>0</v>
      </c>
      <c r="BB29" s="22">
        <f>'Plan annuel Différentes Maladie'!AK29*Population!AO29</f>
        <v>0</v>
      </c>
      <c r="BC29" s="22">
        <f>'Plan annuel Différentes Maladie'!AK29*Population!AL29</f>
        <v>0</v>
      </c>
      <c r="BD29" s="22">
        <f>'Plan annuel Différentes Maladie'!AR29*Population!AN29</f>
        <v>0</v>
      </c>
      <c r="BE29" s="22">
        <f>'Plan annuel Différentes Maladie'!AR29*Population!AO29</f>
        <v>0</v>
      </c>
      <c r="BF29" s="22">
        <f>'Plan annuel Différentes Maladie'!AR29*Population!AM29</f>
        <v>0</v>
      </c>
      <c r="BG29" s="22">
        <f>'Plan annuel Différentes Maladie'!AY29*Population!AI29*'Page d''accueil'!$J$14</f>
        <v>0</v>
      </c>
      <c r="BH29" s="22">
        <f>'Plan annuel Différentes Maladie'!AY29*Population!AI29*'Page d''accueil'!$J$15</f>
        <v>0</v>
      </c>
      <c r="BI29" s="22">
        <f>'Plan annuel Différentes Maladie'!AY29*Population!AI29*'Page d''accueil'!$F$15</f>
        <v>0</v>
      </c>
      <c r="BJ29" s="22">
        <f>'Plan annuel Différentes Maladie'!AY29*Population!AI29*'Page d''accueil'!$F$16</f>
        <v>0</v>
      </c>
      <c r="BK29" s="22">
        <f>MAX('Pop Cibles'!AW29,'Pop Cibles'!BD29,('Pop Cibles'!BG29+'Pop Cibles'!BH29))+MAX('Pop Cibles'!AX29,'Pop Cibles'!AZ29,'Pop Cibles'!BB29,'Pop Cibles'!BE29,'Pop Cibles'!BI29)+MAX('Pop Cibles'!AY29,'Pop Cibles'!BA29,'Pop Cibles'!BC29,'Pop Cibles'!BF29,'Pop Cibles'!BJ29)</f>
        <v>0</v>
      </c>
      <c r="BL29" s="22">
        <f>IF(SUM('Plan annuel Différentes Maladie'!K:K)&gt;0,0,'Plan annuel Différentes Maladie'!X29*Population!AX29)</f>
        <v>0</v>
      </c>
      <c r="BM29" s="22">
        <f>'Plan annuel Différentes Maladie'!X29*Population!AY29</f>
        <v>0</v>
      </c>
      <c r="BN29" s="22">
        <f>'Plan annuel Différentes Maladie'!X29*Population!AP29*'Page d''accueil'!$F$16</f>
        <v>0</v>
      </c>
      <c r="BO29" s="22">
        <f>'Plan annuel Différentes Maladie'!AE29*Population!AR29*'Page d''accueil'!$F$15</f>
        <v>0</v>
      </c>
      <c r="BP29" s="22">
        <f>'Plan annuel Différentes Maladie'!AE29*Population!AR29*'Page d''accueil'!$F$16</f>
        <v>0</v>
      </c>
      <c r="BQ29" s="22">
        <f>'Plan annuel Différentes Maladie'!AL29*Population!AY29</f>
        <v>0</v>
      </c>
      <c r="BR29" s="22">
        <f>'Plan annuel Différentes Maladie'!AL29*Population!AV29</f>
        <v>0</v>
      </c>
      <c r="BS29" s="22">
        <f>'Plan annuel Différentes Maladie'!AS29*Population!AX29</f>
        <v>0</v>
      </c>
      <c r="BT29" s="22">
        <f>'Plan annuel Différentes Maladie'!AS29*Population!AY29</f>
        <v>0</v>
      </c>
      <c r="BU29" s="22">
        <f>'Plan annuel Différentes Maladie'!AS29*Population!AW29</f>
        <v>0</v>
      </c>
      <c r="BV29" s="22">
        <f>'Plan annuel Différentes Maladie'!AZ29*Population!AS29*'Page d''accueil'!$J$14</f>
        <v>0</v>
      </c>
      <c r="BW29" s="22">
        <f>'Plan annuel Différentes Maladie'!AZ29*Population!AS29*'Page d''accueil'!$J$15</f>
        <v>0</v>
      </c>
      <c r="BX29" s="22">
        <f>'Plan annuel Différentes Maladie'!AZ29*Population!AS29*'Page d''accueil'!$F$15</f>
        <v>0</v>
      </c>
      <c r="BY29" s="22">
        <f>'Plan annuel Différentes Maladie'!AZ29*Population!AS29*'Page d''accueil'!$F$16</f>
        <v>0</v>
      </c>
      <c r="BZ29" s="22">
        <f>MAX('Pop Cibles'!BL29,'Pop Cibles'!BS29,('Pop Cibles'!BV29+'Pop Cibles'!BW29))+MAX('Pop Cibles'!BM29,'Pop Cibles'!BO29,'Pop Cibles'!BQ29,'Pop Cibles'!BT29,'Pop Cibles'!BX29)+MAX('Pop Cibles'!BN29,'Pop Cibles'!BP29,'Pop Cibles'!BR29,'Pop Cibles'!BU29,'Pop Cibles'!BY29)</f>
        <v>0</v>
      </c>
    </row>
    <row r="30" spans="1:78" s="5" customFormat="1" ht="12" customHeight="1">
      <c r="A30" s="19">
        <v>27</v>
      </c>
      <c r="B30" s="21" t="str">
        <f>'Plan annuel Différentes Maladie'!B30</f>
        <v>LABE</v>
      </c>
      <c r="C30" s="21" t="str">
        <f>Population!C30</f>
        <v>Lélouma</v>
      </c>
      <c r="D30" s="22">
        <f>IF(SUM('Plan annuel Différentes Maladie'!K:K)&gt;0,0,'Plan annuel Différentes Maladie'!T30*Population!J30)</f>
        <v>0</v>
      </c>
      <c r="E30" s="22">
        <f>'Plan annuel Différentes Maladie'!T30*Population!K30</f>
        <v>52605</v>
      </c>
      <c r="F30" s="22">
        <f>'Plan annuel Différentes Maladie'!T30*Population!D30*'Page d''accueil'!$F$16</f>
        <v>115730.99999999999</v>
      </c>
      <c r="G30" s="22">
        <f>'Plan annuel Différentes Maladie'!AA30*Population!F30*'Page d''accueil'!$F$15</f>
        <v>42084</v>
      </c>
      <c r="H30" s="22">
        <f>'Plan annuel Différentes Maladie'!AA30*Population!F30*'Page d''accueil'!$F$16</f>
        <v>92584.799999999988</v>
      </c>
      <c r="I30" s="22">
        <f>'Plan annuel Différentes Maladie'!AH30*Population!K30</f>
        <v>52605</v>
      </c>
      <c r="J30" s="22">
        <f>'Plan annuel Différentes Maladie'!AH30*Population!H30</f>
        <v>0</v>
      </c>
      <c r="K30" s="22">
        <f>'Plan annuel Différentes Maladie'!AO30*Population!J30</f>
        <v>86272.2</v>
      </c>
      <c r="L30" s="22">
        <f>'Plan annuel Différentes Maladie'!AO30*Population!K30</f>
        <v>52605</v>
      </c>
      <c r="M30" s="22">
        <f>'Plan annuel Différentes Maladie'!AO30*Population!I30</f>
        <v>168336</v>
      </c>
      <c r="N30" s="22">
        <f>'Plan annuel Différentes Maladie'!AV30*Population!G30*'Page d''accueil'!$J$14</f>
        <v>0</v>
      </c>
      <c r="O30" s="22">
        <f>'Plan annuel Différentes Maladie'!AV30*Population!G30*'Page d''accueil'!$J$15</f>
        <v>0</v>
      </c>
      <c r="P30" s="22">
        <f>'Plan annuel Différentes Maladie'!AV30*Population!G30*'Page d''accueil'!$F$15</f>
        <v>0</v>
      </c>
      <c r="Q30" s="22">
        <f>'Plan annuel Différentes Maladie'!AV30*Population!G30*'Page d''accueil'!$F$16</f>
        <v>0</v>
      </c>
      <c r="R30" s="22">
        <f>MAX('Pop Cibles'!D30,'Pop Cibles'!K30,('Pop Cibles'!N30+'Pop Cibles'!O30))+MAX('Pop Cibles'!E30,'Pop Cibles'!G30,'Pop Cibles'!I30,'Pop Cibles'!L30,'Pop Cibles'!P30)+MAX('Pop Cibles'!F30,'Pop Cibles'!H30,'Pop Cibles'!J30,'Pop Cibles'!M30,'Pop Cibles'!Q30)</f>
        <v>307213.2</v>
      </c>
      <c r="S30" s="22">
        <f>IF(SUM('Plan annuel Différentes Maladie'!K:K)&gt;0,0,'Plan annuel Différentes Maladie'!U30*Population!T30)</f>
        <v>0</v>
      </c>
      <c r="T30" s="22">
        <f>'Plan annuel Différentes Maladie'!U30*Population!U30</f>
        <v>54025.334999999992</v>
      </c>
      <c r="U30" s="22">
        <f>'Plan annuel Différentes Maladie'!U30*Population!L30*'Page d''accueil'!$F$16</f>
        <v>118855.73699999996</v>
      </c>
      <c r="V30" s="22">
        <f>'Plan annuel Différentes Maladie'!AB30*Population!N30*'Page d''accueil'!$F$15</f>
        <v>43220.267999999996</v>
      </c>
      <c r="W30" s="22">
        <f>'Plan annuel Différentes Maladie'!AB30*Population!N30*'Page d''accueil'!$F$16</f>
        <v>95084.589599999978</v>
      </c>
      <c r="X30" s="22">
        <f>'Plan annuel Différentes Maladie'!AI30*Population!U30</f>
        <v>54025.334999999992</v>
      </c>
      <c r="Y30" s="22">
        <f>'Plan annuel Différentes Maladie'!AI30*Population!R30</f>
        <v>0</v>
      </c>
      <c r="Z30" s="22">
        <f>'Plan annuel Différentes Maladie'!AP30*Population!T30</f>
        <v>34576.214399999997</v>
      </c>
      <c r="AA30" s="22">
        <f>'Plan annuel Différentes Maladie'!AP30*Population!U30</f>
        <v>54025.334999999992</v>
      </c>
      <c r="AB30" s="22">
        <f>'Plan annuel Différentes Maladie'!AP30*Population!S30</f>
        <v>172881.07199999999</v>
      </c>
      <c r="AC30" s="22">
        <f>'Plan annuel Différentes Maladie'!AW30*Population!Q30*'Page d''accueil'!$J$14</f>
        <v>0</v>
      </c>
      <c r="AD30" s="22">
        <f>'Plan annuel Différentes Maladie'!AW30*Population!Q30*'Page d''accueil'!$J$15</f>
        <v>0</v>
      </c>
      <c r="AE30" s="22">
        <f>'Plan annuel Différentes Maladie'!AW30*Population!Q30*'Page d''accueil'!$F$15</f>
        <v>0</v>
      </c>
      <c r="AF30" s="22">
        <f>'Plan annuel Différentes Maladie'!AW30*Population!Q30*'Page d''accueil'!$F$16</f>
        <v>0</v>
      </c>
      <c r="AG30" s="22">
        <f>MAX('Pop Cibles'!S30,'Pop Cibles'!Z30,('Pop Cibles'!AC30+'Pop Cibles'!AD30))+MAX('Pop Cibles'!T30,'Pop Cibles'!V30,'Pop Cibles'!X30,'Pop Cibles'!AA30,'Pop Cibles'!AE30)+MAX('Pop Cibles'!U30,'Pop Cibles'!W30,'Pop Cibles'!Y30,'Pop Cibles'!AB30,'Pop Cibles'!AF30)</f>
        <v>261482.62139999997</v>
      </c>
      <c r="AH30" s="22">
        <f>IF(SUM('Plan annuel Différentes Maladie'!K:K)&gt;0,0,'Plan annuel Différentes Maladie'!V30*Population!AD30)</f>
        <v>0</v>
      </c>
      <c r="AI30" s="22">
        <f>'Plan annuel Différentes Maladie'!V30*Population!AE30</f>
        <v>55484.019044999986</v>
      </c>
      <c r="AJ30" s="22">
        <f>'Plan annuel Différentes Maladie'!V30*Population!V30*'Page d''accueil'!$F$16</f>
        <v>122064.84189899995</v>
      </c>
      <c r="AK30" s="22">
        <f>'Plan annuel Différentes Maladie'!AC30*Population!X30*'Page d''accueil'!$F$15</f>
        <v>44387.215235999989</v>
      </c>
      <c r="AL30" s="22">
        <f>'Plan annuel Différentes Maladie'!AC30*Population!X30*'Page d''accueil'!$F$16</f>
        <v>97651.873519199959</v>
      </c>
      <c r="AM30" s="22">
        <f>'Plan annuel Différentes Maladie'!AJ30*Population!AE30</f>
        <v>55484.019044999986</v>
      </c>
      <c r="AN30" s="22">
        <f>'Plan annuel Différentes Maladie'!AJ30*Population!AB30</f>
        <v>0</v>
      </c>
      <c r="AO30" s="22">
        <f>'Plan annuel Différentes Maladie'!AQ30*Population!AD30</f>
        <v>35509.772188799994</v>
      </c>
      <c r="AP30" s="22">
        <f>'Plan annuel Différentes Maladie'!AQ30*Population!AE30</f>
        <v>55484.019044999986</v>
      </c>
      <c r="AQ30" s="22">
        <f>'Plan annuel Différentes Maladie'!AQ30*Population!AC30</f>
        <v>177548.86094399996</v>
      </c>
      <c r="AR30" s="22">
        <f>'Plan annuel Différentes Maladie'!AX30*Population!Y30*'Page d''accueil'!$J$14</f>
        <v>0</v>
      </c>
      <c r="AS30" s="22">
        <f>'Plan annuel Différentes Maladie'!AX30*Population!Y30*'Page d''accueil'!$J$15</f>
        <v>0</v>
      </c>
      <c r="AT30" s="22">
        <f>'Plan annuel Différentes Maladie'!AX30*Population!Y30*'Page d''accueil'!$F$15</f>
        <v>0</v>
      </c>
      <c r="AU30" s="22">
        <f>'Plan annuel Différentes Maladie'!AX30*Population!Y30*'Page d''accueil'!$F$16</f>
        <v>0</v>
      </c>
      <c r="AV30" s="22">
        <f>MAX('Pop Cibles'!AH30,'Pop Cibles'!AO30,('Pop Cibles'!AR30+'Pop Cibles'!AS30))+MAX('Pop Cibles'!AI30,'Pop Cibles'!AK30,'Pop Cibles'!AM30,'Pop Cibles'!AP30,'Pop Cibles'!AT30)+MAX('Pop Cibles'!AJ30,'Pop Cibles'!AL30,'Pop Cibles'!AN30,'Pop Cibles'!AQ30,'Pop Cibles'!AU30)</f>
        <v>268542.65217779996</v>
      </c>
      <c r="AW30" s="22">
        <f>IF(SUM('Plan annuel Différentes Maladie'!K:K)&gt;0,0,'Plan annuel Différentes Maladie'!W30*Population!AN30)</f>
        <v>0</v>
      </c>
      <c r="AX30" s="22">
        <f>'Plan annuel Différentes Maladie'!W30*Population!AO30</f>
        <v>56982.087559214982</v>
      </c>
      <c r="AY30" s="22">
        <f>'Plan annuel Différentes Maladie'!W30*Population!AF30*'Page d''accueil'!$F$16</f>
        <v>125360.59263027295</v>
      </c>
      <c r="AZ30" s="22">
        <f>'Plan annuel Différentes Maladie'!AD30*Population!AH30*'Page d''accueil'!$F$15</f>
        <v>45585.670047371983</v>
      </c>
      <c r="BA30" s="22">
        <f>'Plan annuel Différentes Maladie'!AD30*Population!AH30*'Page d''accueil'!$F$16</f>
        <v>100288.47410421835</v>
      </c>
      <c r="BB30" s="22">
        <f>'Plan annuel Différentes Maladie'!AK30*Population!AO30</f>
        <v>56982.087559214982</v>
      </c>
      <c r="BC30" s="22">
        <f>'Plan annuel Différentes Maladie'!AK30*Population!AL30</f>
        <v>0</v>
      </c>
      <c r="BD30" s="22">
        <f>'Plan annuel Différentes Maladie'!AR30*Population!AN30</f>
        <v>36468.536037897589</v>
      </c>
      <c r="BE30" s="22">
        <f>'Plan annuel Différentes Maladie'!AR30*Population!AO30</f>
        <v>56982.087559214982</v>
      </c>
      <c r="BF30" s="22">
        <f>'Plan annuel Différentes Maladie'!AR30*Population!AM30</f>
        <v>182342.68018948793</v>
      </c>
      <c r="BG30" s="22">
        <f>'Plan annuel Différentes Maladie'!AY30*Population!AI30*'Page d''accueil'!$J$14</f>
        <v>0</v>
      </c>
      <c r="BH30" s="22">
        <f>'Plan annuel Différentes Maladie'!AY30*Population!AI30*'Page d''accueil'!$J$15</f>
        <v>0</v>
      </c>
      <c r="BI30" s="22">
        <f>'Plan annuel Différentes Maladie'!AY30*Population!AI30*'Page d''accueil'!$F$15</f>
        <v>0</v>
      </c>
      <c r="BJ30" s="22">
        <f>'Plan annuel Différentes Maladie'!AY30*Population!AI30*'Page d''accueil'!$F$16</f>
        <v>0</v>
      </c>
      <c r="BK30" s="22">
        <f>MAX('Pop Cibles'!AW30,'Pop Cibles'!BD30,('Pop Cibles'!BG30+'Pop Cibles'!BH30))+MAX('Pop Cibles'!AX30,'Pop Cibles'!AZ30,'Pop Cibles'!BB30,'Pop Cibles'!BE30,'Pop Cibles'!BI30)+MAX('Pop Cibles'!AY30,'Pop Cibles'!BA30,'Pop Cibles'!BC30,'Pop Cibles'!BF30,'Pop Cibles'!BJ30)</f>
        <v>275793.30378660047</v>
      </c>
      <c r="BL30" s="22">
        <f>IF(SUM('Plan annuel Différentes Maladie'!K:K)&gt;0,0,'Plan annuel Différentes Maladie'!X30*Population!AX30)</f>
        <v>0</v>
      </c>
      <c r="BM30" s="22">
        <f>'Plan annuel Différentes Maladie'!X30*Population!AY30</f>
        <v>58520.603923313785</v>
      </c>
      <c r="BN30" s="22">
        <f>'Plan annuel Différentes Maladie'!X30*Population!AP30*'Page d''accueil'!$F$16</f>
        <v>128745.32863129031</v>
      </c>
      <c r="BO30" s="22">
        <f>'Plan annuel Différentes Maladie'!AE30*Population!AR30*'Page d''accueil'!$F$15</f>
        <v>46816.48313865102</v>
      </c>
      <c r="BP30" s="22">
        <f>'Plan annuel Différentes Maladie'!AE30*Population!AR30*'Page d''accueil'!$F$16</f>
        <v>102996.26290503223</v>
      </c>
      <c r="BQ30" s="22">
        <f>'Plan annuel Différentes Maladie'!AL30*Population!AY30</f>
        <v>58520.603923313785</v>
      </c>
      <c r="BR30" s="22">
        <f>'Plan annuel Différentes Maladie'!AL30*Population!AV30</f>
        <v>0</v>
      </c>
      <c r="BS30" s="22">
        <f>'Plan annuel Différentes Maladie'!AS30*Population!AX30</f>
        <v>37453.186510920823</v>
      </c>
      <c r="BT30" s="22">
        <f>'Plan annuel Différentes Maladie'!AS30*Population!AY30</f>
        <v>58520.603923313785</v>
      </c>
      <c r="BU30" s="22">
        <f>'Plan annuel Différentes Maladie'!AS30*Population!AW30</f>
        <v>187265.93255460408</v>
      </c>
      <c r="BV30" s="22">
        <f>'Plan annuel Différentes Maladie'!AZ30*Population!AS30*'Page d''accueil'!$J$14</f>
        <v>0</v>
      </c>
      <c r="BW30" s="22">
        <f>'Plan annuel Différentes Maladie'!AZ30*Population!AS30*'Page d''accueil'!$J$15</f>
        <v>0</v>
      </c>
      <c r="BX30" s="22">
        <f>'Plan annuel Différentes Maladie'!AZ30*Population!AS30*'Page d''accueil'!$F$15</f>
        <v>0</v>
      </c>
      <c r="BY30" s="22">
        <f>'Plan annuel Différentes Maladie'!AZ30*Population!AS30*'Page d''accueil'!$F$16</f>
        <v>0</v>
      </c>
      <c r="BZ30" s="22">
        <f>MAX('Pop Cibles'!BL30,'Pop Cibles'!BS30,('Pop Cibles'!BV30+'Pop Cibles'!BW30))+MAX('Pop Cibles'!BM30,'Pop Cibles'!BO30,'Pop Cibles'!BQ30,'Pop Cibles'!BT30,'Pop Cibles'!BX30)+MAX('Pop Cibles'!BN30,'Pop Cibles'!BP30,'Pop Cibles'!BR30,'Pop Cibles'!BU30,'Pop Cibles'!BY30)</f>
        <v>283239.72298883868</v>
      </c>
    </row>
    <row r="31" spans="1:78" s="5" customFormat="1" ht="12">
      <c r="A31" s="19">
        <v>28</v>
      </c>
      <c r="B31" s="21" t="e">
        <f>'Plan annuel Différentes Maladie'!#REF!</f>
        <v>#REF!</v>
      </c>
      <c r="C31" s="21" t="e">
        <f>Population!#REF!</f>
        <v>#REF!</v>
      </c>
      <c r="D31" s="22">
        <f>IF(SUM('Plan annuel Différentes Maladie'!K:K)&gt;0,0,'Plan annuel Différentes Maladie'!#REF!*Population!#REF!)</f>
        <v>0</v>
      </c>
      <c r="E31" s="22" t="e">
        <f>'Plan annuel Différentes Maladie'!#REF!*Population!#REF!</f>
        <v>#REF!</v>
      </c>
      <c r="F31" s="22" t="e">
        <f>'Plan annuel Différentes Maladie'!#REF!*Population!#REF!*'Page d''accueil'!$F$16</f>
        <v>#REF!</v>
      </c>
      <c r="G31" s="22" t="e">
        <f>'Plan annuel Différentes Maladie'!#REF!*Population!#REF!*'Page d''accueil'!$F$15</f>
        <v>#REF!</v>
      </c>
      <c r="H31" s="22" t="e">
        <f>'Plan annuel Différentes Maladie'!#REF!*Population!#REF!*'Page d''accueil'!$F$16</f>
        <v>#REF!</v>
      </c>
      <c r="I31" s="22" t="e">
        <f>'Plan annuel Différentes Maladie'!#REF!*Population!#REF!</f>
        <v>#REF!</v>
      </c>
      <c r="J31" s="22" t="e">
        <f>'Plan annuel Différentes Maladie'!#REF!*Population!#REF!</f>
        <v>#REF!</v>
      </c>
      <c r="K31" s="22" t="e">
        <f>'Plan annuel Différentes Maladie'!#REF!*Population!#REF!</f>
        <v>#REF!</v>
      </c>
      <c r="L31" s="22" t="e">
        <f>'Plan annuel Différentes Maladie'!#REF!*Population!#REF!</f>
        <v>#REF!</v>
      </c>
      <c r="M31" s="22" t="e">
        <f>'Plan annuel Différentes Maladie'!#REF!*Population!#REF!</f>
        <v>#REF!</v>
      </c>
      <c r="N31" s="22" t="e">
        <f>'Plan annuel Différentes Maladie'!#REF!*Population!#REF!*'Page d''accueil'!$J$14</f>
        <v>#REF!</v>
      </c>
      <c r="O31" s="22" t="e">
        <f>'Plan annuel Différentes Maladie'!#REF!*Population!#REF!*'Page d''accueil'!$J$15</f>
        <v>#REF!</v>
      </c>
      <c r="P31" s="22" t="e">
        <f>'Plan annuel Différentes Maladie'!#REF!*Population!#REF!*'Page d''accueil'!$F$15</f>
        <v>#REF!</v>
      </c>
      <c r="Q31" s="22" t="e">
        <f>'Plan annuel Différentes Maladie'!#REF!*Population!#REF!*'Page d''accueil'!$F$16</f>
        <v>#REF!</v>
      </c>
      <c r="R31" s="22" t="e">
        <f>MAX('Pop Cibles'!D31,'Pop Cibles'!K31,('Pop Cibles'!N31+'Pop Cibles'!O31))+MAX('Pop Cibles'!E31,'Pop Cibles'!G31,'Pop Cibles'!I31,'Pop Cibles'!L31,'Pop Cibles'!P31)+MAX('Pop Cibles'!F31,'Pop Cibles'!H31,'Pop Cibles'!J31,'Pop Cibles'!M31,'Pop Cibles'!Q31)</f>
        <v>#REF!</v>
      </c>
      <c r="S31" s="22">
        <f>IF(SUM('Plan annuel Différentes Maladie'!K:K)&gt;0,0,'Plan annuel Différentes Maladie'!#REF!*Population!#REF!)</f>
        <v>0</v>
      </c>
      <c r="T31" s="22" t="e">
        <f>'Plan annuel Différentes Maladie'!#REF!*Population!#REF!</f>
        <v>#REF!</v>
      </c>
      <c r="U31" s="22" t="e">
        <f>'Plan annuel Différentes Maladie'!#REF!*Population!#REF!*'Page d''accueil'!$F$16</f>
        <v>#REF!</v>
      </c>
      <c r="V31" s="22" t="e">
        <f>'Plan annuel Différentes Maladie'!#REF!*Population!#REF!*'Page d''accueil'!$F$15</f>
        <v>#REF!</v>
      </c>
      <c r="W31" s="22" t="e">
        <f>'Plan annuel Différentes Maladie'!#REF!*Population!#REF!*'Page d''accueil'!$F$16</f>
        <v>#REF!</v>
      </c>
      <c r="X31" s="22" t="e">
        <f>'Plan annuel Différentes Maladie'!#REF!*Population!#REF!</f>
        <v>#REF!</v>
      </c>
      <c r="Y31" s="22" t="e">
        <f>'Plan annuel Différentes Maladie'!#REF!*Population!#REF!</f>
        <v>#REF!</v>
      </c>
      <c r="Z31" s="22" t="e">
        <f>'Plan annuel Différentes Maladie'!#REF!*Population!#REF!</f>
        <v>#REF!</v>
      </c>
      <c r="AA31" s="22" t="e">
        <f>'Plan annuel Différentes Maladie'!#REF!*Population!#REF!</f>
        <v>#REF!</v>
      </c>
      <c r="AB31" s="22" t="e">
        <f>'Plan annuel Différentes Maladie'!#REF!*Population!#REF!</f>
        <v>#REF!</v>
      </c>
      <c r="AC31" s="22" t="e">
        <f>'Plan annuel Différentes Maladie'!#REF!*Population!#REF!*'Page d''accueil'!$J$14</f>
        <v>#REF!</v>
      </c>
      <c r="AD31" s="22" t="e">
        <f>'Plan annuel Différentes Maladie'!#REF!*Population!#REF!*'Page d''accueil'!$J$15</f>
        <v>#REF!</v>
      </c>
      <c r="AE31" s="22" t="e">
        <f>'Plan annuel Différentes Maladie'!#REF!*Population!#REF!*'Page d''accueil'!$F$15</f>
        <v>#REF!</v>
      </c>
      <c r="AF31" s="22" t="e">
        <f>'Plan annuel Différentes Maladie'!#REF!*Population!#REF!*'Page d''accueil'!$F$16</f>
        <v>#REF!</v>
      </c>
      <c r="AG31" s="22" t="e">
        <f>MAX('Pop Cibles'!S31,'Pop Cibles'!Z31,('Pop Cibles'!AC31+'Pop Cibles'!AD31))+MAX('Pop Cibles'!T31,'Pop Cibles'!V31,'Pop Cibles'!X31,'Pop Cibles'!AA31,'Pop Cibles'!AE31)+MAX('Pop Cibles'!U31,'Pop Cibles'!W31,'Pop Cibles'!Y31,'Pop Cibles'!AB31,'Pop Cibles'!AF31)</f>
        <v>#REF!</v>
      </c>
      <c r="AH31" s="22">
        <f>IF(SUM('Plan annuel Différentes Maladie'!K:K)&gt;0,0,'Plan annuel Différentes Maladie'!#REF!*Population!#REF!)</f>
        <v>0</v>
      </c>
      <c r="AI31" s="22" t="e">
        <f>'Plan annuel Différentes Maladie'!#REF!*Population!#REF!</f>
        <v>#REF!</v>
      </c>
      <c r="AJ31" s="22" t="e">
        <f>'Plan annuel Différentes Maladie'!#REF!*Population!#REF!*'Page d''accueil'!$F$16</f>
        <v>#REF!</v>
      </c>
      <c r="AK31" s="22" t="e">
        <f>'Plan annuel Différentes Maladie'!#REF!*Population!#REF!*'Page d''accueil'!$F$15</f>
        <v>#REF!</v>
      </c>
      <c r="AL31" s="22" t="e">
        <f>'Plan annuel Différentes Maladie'!#REF!*Population!#REF!*'Page d''accueil'!$F$16</f>
        <v>#REF!</v>
      </c>
      <c r="AM31" s="22" t="e">
        <f>'Plan annuel Différentes Maladie'!#REF!*Population!#REF!</f>
        <v>#REF!</v>
      </c>
      <c r="AN31" s="22" t="e">
        <f>'Plan annuel Différentes Maladie'!#REF!*Population!#REF!</f>
        <v>#REF!</v>
      </c>
      <c r="AO31" s="22" t="e">
        <f>'Plan annuel Différentes Maladie'!#REF!*Population!#REF!</f>
        <v>#REF!</v>
      </c>
      <c r="AP31" s="22" t="e">
        <f>'Plan annuel Différentes Maladie'!#REF!*Population!#REF!</f>
        <v>#REF!</v>
      </c>
      <c r="AQ31" s="22" t="e">
        <f>'Plan annuel Différentes Maladie'!#REF!*Population!#REF!</f>
        <v>#REF!</v>
      </c>
      <c r="AR31" s="22" t="e">
        <f>'Plan annuel Différentes Maladie'!#REF!*Population!#REF!*'Page d''accueil'!$J$14</f>
        <v>#REF!</v>
      </c>
      <c r="AS31" s="22" t="e">
        <f>'Plan annuel Différentes Maladie'!#REF!*Population!#REF!*'Page d''accueil'!$J$15</f>
        <v>#REF!</v>
      </c>
      <c r="AT31" s="22" t="e">
        <f>'Plan annuel Différentes Maladie'!#REF!*Population!#REF!*'Page d''accueil'!$F$15</f>
        <v>#REF!</v>
      </c>
      <c r="AU31" s="22" t="e">
        <f>'Plan annuel Différentes Maladie'!#REF!*Population!#REF!*'Page d''accueil'!$F$16</f>
        <v>#REF!</v>
      </c>
      <c r="AV31" s="22" t="e">
        <f>MAX('Pop Cibles'!AH31,'Pop Cibles'!AO31,('Pop Cibles'!AR31+'Pop Cibles'!AS31))+MAX('Pop Cibles'!AI31,'Pop Cibles'!AK31,'Pop Cibles'!AM31,'Pop Cibles'!AP31,'Pop Cibles'!AT31)+MAX('Pop Cibles'!AJ31,'Pop Cibles'!AL31,'Pop Cibles'!AN31,'Pop Cibles'!AQ31,'Pop Cibles'!AU31)</f>
        <v>#REF!</v>
      </c>
      <c r="AW31" s="22">
        <f>IF(SUM('Plan annuel Différentes Maladie'!K:K)&gt;0,0,'Plan annuel Différentes Maladie'!#REF!*Population!#REF!)</f>
        <v>0</v>
      </c>
      <c r="AX31" s="22" t="e">
        <f>'Plan annuel Différentes Maladie'!#REF!*Population!#REF!</f>
        <v>#REF!</v>
      </c>
      <c r="AY31" s="22" t="e">
        <f>'Plan annuel Différentes Maladie'!#REF!*Population!#REF!*'Page d''accueil'!$F$16</f>
        <v>#REF!</v>
      </c>
      <c r="AZ31" s="22" t="e">
        <f>'Plan annuel Différentes Maladie'!#REF!*Population!#REF!*'Page d''accueil'!$F$15</f>
        <v>#REF!</v>
      </c>
      <c r="BA31" s="22" t="e">
        <f>'Plan annuel Différentes Maladie'!#REF!*Population!#REF!*'Page d''accueil'!$F$16</f>
        <v>#REF!</v>
      </c>
      <c r="BB31" s="22" t="e">
        <f>'Plan annuel Différentes Maladie'!#REF!*Population!#REF!</f>
        <v>#REF!</v>
      </c>
      <c r="BC31" s="22" t="e">
        <f>'Plan annuel Différentes Maladie'!#REF!*Population!#REF!</f>
        <v>#REF!</v>
      </c>
      <c r="BD31" s="22" t="e">
        <f>'Plan annuel Différentes Maladie'!#REF!*Population!#REF!</f>
        <v>#REF!</v>
      </c>
      <c r="BE31" s="22" t="e">
        <f>'Plan annuel Différentes Maladie'!#REF!*Population!#REF!</f>
        <v>#REF!</v>
      </c>
      <c r="BF31" s="22" t="e">
        <f>'Plan annuel Différentes Maladie'!#REF!*Population!#REF!</f>
        <v>#REF!</v>
      </c>
      <c r="BG31" s="22" t="e">
        <f>'Plan annuel Différentes Maladie'!#REF!*Population!#REF!*'Page d''accueil'!$J$14</f>
        <v>#REF!</v>
      </c>
      <c r="BH31" s="22" t="e">
        <f>'Plan annuel Différentes Maladie'!#REF!*Population!#REF!*'Page d''accueil'!$J$15</f>
        <v>#REF!</v>
      </c>
      <c r="BI31" s="22" t="e">
        <f>'Plan annuel Différentes Maladie'!#REF!*Population!#REF!*'Page d''accueil'!$F$15</f>
        <v>#REF!</v>
      </c>
      <c r="BJ31" s="22" t="e">
        <f>'Plan annuel Différentes Maladie'!#REF!*Population!#REF!*'Page d''accueil'!$F$16</f>
        <v>#REF!</v>
      </c>
      <c r="BK31" s="22" t="e">
        <f>MAX('Pop Cibles'!AW31,'Pop Cibles'!BD31,('Pop Cibles'!BG31+'Pop Cibles'!BH31))+MAX('Pop Cibles'!AX31,'Pop Cibles'!AZ31,'Pop Cibles'!BB31,'Pop Cibles'!BE31,'Pop Cibles'!BI31)+MAX('Pop Cibles'!AY31,'Pop Cibles'!BA31,'Pop Cibles'!BC31,'Pop Cibles'!BF31,'Pop Cibles'!BJ31)</f>
        <v>#REF!</v>
      </c>
      <c r="BL31" s="22">
        <f>IF(SUM('Plan annuel Différentes Maladie'!K:K)&gt;0,0,'Plan annuel Différentes Maladie'!#REF!*Population!#REF!)</f>
        <v>0</v>
      </c>
      <c r="BM31" s="22" t="e">
        <f>'Plan annuel Différentes Maladie'!#REF!*Population!#REF!</f>
        <v>#REF!</v>
      </c>
      <c r="BN31" s="22" t="e">
        <f>'Plan annuel Différentes Maladie'!#REF!*Population!#REF!*'Page d''accueil'!$F$16</f>
        <v>#REF!</v>
      </c>
      <c r="BO31" s="22" t="e">
        <f>'Plan annuel Différentes Maladie'!#REF!*Population!#REF!*'Page d''accueil'!$F$15</f>
        <v>#REF!</v>
      </c>
      <c r="BP31" s="22" t="e">
        <f>'Plan annuel Différentes Maladie'!#REF!*Population!#REF!*'Page d''accueil'!$F$16</f>
        <v>#REF!</v>
      </c>
      <c r="BQ31" s="22" t="e">
        <f>'Plan annuel Différentes Maladie'!#REF!*Population!#REF!</f>
        <v>#REF!</v>
      </c>
      <c r="BR31" s="22" t="e">
        <f>'Plan annuel Différentes Maladie'!#REF!*Population!#REF!</f>
        <v>#REF!</v>
      </c>
      <c r="BS31" s="22" t="e">
        <f>'Plan annuel Différentes Maladie'!#REF!*Population!#REF!</f>
        <v>#REF!</v>
      </c>
      <c r="BT31" s="22" t="e">
        <f>'Plan annuel Différentes Maladie'!#REF!*Population!#REF!</f>
        <v>#REF!</v>
      </c>
      <c r="BU31" s="22" t="e">
        <f>'Plan annuel Différentes Maladie'!#REF!*Population!#REF!</f>
        <v>#REF!</v>
      </c>
      <c r="BV31" s="22" t="e">
        <f>'Plan annuel Différentes Maladie'!#REF!*Population!#REF!*'Page d''accueil'!$J$14</f>
        <v>#REF!</v>
      </c>
      <c r="BW31" s="22" t="e">
        <f>'Plan annuel Différentes Maladie'!#REF!*Population!#REF!*'Page d''accueil'!$J$15</f>
        <v>#REF!</v>
      </c>
      <c r="BX31" s="22" t="e">
        <f>'Plan annuel Différentes Maladie'!#REF!*Population!#REF!*'Page d''accueil'!$F$15</f>
        <v>#REF!</v>
      </c>
      <c r="BY31" s="22" t="e">
        <f>'Plan annuel Différentes Maladie'!#REF!*Population!#REF!*'Page d''accueil'!$F$16</f>
        <v>#REF!</v>
      </c>
      <c r="BZ31" s="22" t="e">
        <f>MAX('Pop Cibles'!BL31,'Pop Cibles'!BS31,('Pop Cibles'!BV31+'Pop Cibles'!BW31))+MAX('Pop Cibles'!BM31,'Pop Cibles'!BO31,'Pop Cibles'!BQ31,'Pop Cibles'!BT31,'Pop Cibles'!BX31)+MAX('Pop Cibles'!BN31,'Pop Cibles'!BP31,'Pop Cibles'!BR31,'Pop Cibles'!BU31,'Pop Cibles'!BY31)</f>
        <v>#REF!</v>
      </c>
    </row>
    <row r="32" spans="1:78" s="5" customFormat="1" ht="12">
      <c r="A32" s="19">
        <v>29</v>
      </c>
      <c r="B32" s="21" t="e">
        <f>'Plan annuel Différentes Maladie'!#REF!</f>
        <v>#REF!</v>
      </c>
      <c r="C32" s="21" t="e">
        <f>Population!#REF!</f>
        <v>#REF!</v>
      </c>
      <c r="D32" s="22">
        <f>IF(SUM('Plan annuel Différentes Maladie'!K:K)&gt;0,0,'Plan annuel Différentes Maladie'!#REF!*Population!#REF!)</f>
        <v>0</v>
      </c>
      <c r="E32" s="22" t="e">
        <f>'Plan annuel Différentes Maladie'!#REF!*Population!#REF!</f>
        <v>#REF!</v>
      </c>
      <c r="F32" s="22" t="e">
        <f>'Plan annuel Différentes Maladie'!#REF!*Population!#REF!*'Page d''accueil'!$F$16</f>
        <v>#REF!</v>
      </c>
      <c r="G32" s="22" t="e">
        <f>'Plan annuel Différentes Maladie'!#REF!*Population!#REF!*'Page d''accueil'!$F$15</f>
        <v>#REF!</v>
      </c>
      <c r="H32" s="22" t="e">
        <f>'Plan annuel Différentes Maladie'!#REF!*Population!#REF!*'Page d''accueil'!$F$16</f>
        <v>#REF!</v>
      </c>
      <c r="I32" s="22" t="e">
        <f>'Plan annuel Différentes Maladie'!#REF!*Population!#REF!</f>
        <v>#REF!</v>
      </c>
      <c r="J32" s="22" t="e">
        <f>'Plan annuel Différentes Maladie'!#REF!*Population!#REF!</f>
        <v>#REF!</v>
      </c>
      <c r="K32" s="22" t="e">
        <f>'Plan annuel Différentes Maladie'!#REF!*Population!#REF!</f>
        <v>#REF!</v>
      </c>
      <c r="L32" s="22" t="e">
        <f>'Plan annuel Différentes Maladie'!#REF!*Population!#REF!</f>
        <v>#REF!</v>
      </c>
      <c r="M32" s="22" t="e">
        <f>'Plan annuel Différentes Maladie'!#REF!*Population!#REF!</f>
        <v>#REF!</v>
      </c>
      <c r="N32" s="22" t="e">
        <f>'Plan annuel Différentes Maladie'!#REF!*Population!#REF!*'Page d''accueil'!$J$14</f>
        <v>#REF!</v>
      </c>
      <c r="O32" s="22" t="e">
        <f>'Plan annuel Différentes Maladie'!#REF!*Population!#REF!*'Page d''accueil'!$J$15</f>
        <v>#REF!</v>
      </c>
      <c r="P32" s="22" t="e">
        <f>'Plan annuel Différentes Maladie'!#REF!*Population!#REF!*'Page d''accueil'!$F$15</f>
        <v>#REF!</v>
      </c>
      <c r="Q32" s="22" t="e">
        <f>'Plan annuel Différentes Maladie'!#REF!*Population!#REF!*'Page d''accueil'!$F$16</f>
        <v>#REF!</v>
      </c>
      <c r="R32" s="22" t="e">
        <f>MAX('Pop Cibles'!D32,'Pop Cibles'!K32,('Pop Cibles'!N32+'Pop Cibles'!O32))+MAX('Pop Cibles'!E32,'Pop Cibles'!G32,'Pop Cibles'!I32,'Pop Cibles'!L32,'Pop Cibles'!P32)+MAX('Pop Cibles'!F32,'Pop Cibles'!H32,'Pop Cibles'!J32,'Pop Cibles'!M32,'Pop Cibles'!Q32)</f>
        <v>#REF!</v>
      </c>
      <c r="S32" s="22">
        <f>IF(SUM('Plan annuel Différentes Maladie'!K:K)&gt;0,0,'Plan annuel Différentes Maladie'!#REF!*Population!#REF!)</f>
        <v>0</v>
      </c>
      <c r="T32" s="22" t="e">
        <f>'Plan annuel Différentes Maladie'!#REF!*Population!#REF!</f>
        <v>#REF!</v>
      </c>
      <c r="U32" s="22" t="e">
        <f>'Plan annuel Différentes Maladie'!#REF!*Population!#REF!*'Page d''accueil'!$F$16</f>
        <v>#REF!</v>
      </c>
      <c r="V32" s="22" t="e">
        <f>'Plan annuel Différentes Maladie'!#REF!*Population!#REF!*'Page d''accueil'!$F$15</f>
        <v>#REF!</v>
      </c>
      <c r="W32" s="22" t="e">
        <f>'Plan annuel Différentes Maladie'!#REF!*Population!#REF!*'Page d''accueil'!$F$16</f>
        <v>#REF!</v>
      </c>
      <c r="X32" s="22" t="e">
        <f>'Plan annuel Différentes Maladie'!#REF!*Population!#REF!</f>
        <v>#REF!</v>
      </c>
      <c r="Y32" s="22" t="e">
        <f>'Plan annuel Différentes Maladie'!#REF!*Population!#REF!</f>
        <v>#REF!</v>
      </c>
      <c r="Z32" s="22" t="e">
        <f>'Plan annuel Différentes Maladie'!#REF!*Population!#REF!</f>
        <v>#REF!</v>
      </c>
      <c r="AA32" s="22" t="e">
        <f>'Plan annuel Différentes Maladie'!#REF!*Population!#REF!</f>
        <v>#REF!</v>
      </c>
      <c r="AB32" s="22" t="e">
        <f>'Plan annuel Différentes Maladie'!#REF!*Population!#REF!</f>
        <v>#REF!</v>
      </c>
      <c r="AC32" s="22" t="e">
        <f>'Plan annuel Différentes Maladie'!#REF!*Population!#REF!*'Page d''accueil'!$J$14</f>
        <v>#REF!</v>
      </c>
      <c r="AD32" s="22" t="e">
        <f>'Plan annuel Différentes Maladie'!#REF!*Population!#REF!*'Page d''accueil'!$J$15</f>
        <v>#REF!</v>
      </c>
      <c r="AE32" s="22" t="e">
        <f>'Plan annuel Différentes Maladie'!#REF!*Population!#REF!*'Page d''accueil'!$F$15</f>
        <v>#REF!</v>
      </c>
      <c r="AF32" s="22" t="e">
        <f>'Plan annuel Différentes Maladie'!#REF!*Population!#REF!*'Page d''accueil'!$F$16</f>
        <v>#REF!</v>
      </c>
      <c r="AG32" s="22" t="e">
        <f>MAX('Pop Cibles'!S32,'Pop Cibles'!Z32,('Pop Cibles'!AC32+'Pop Cibles'!AD32))+MAX('Pop Cibles'!T32,'Pop Cibles'!V32,'Pop Cibles'!X32,'Pop Cibles'!AA32,'Pop Cibles'!AE32)+MAX('Pop Cibles'!U32,'Pop Cibles'!W32,'Pop Cibles'!Y32,'Pop Cibles'!AB32,'Pop Cibles'!AF32)</f>
        <v>#REF!</v>
      </c>
      <c r="AH32" s="22">
        <f>IF(SUM('Plan annuel Différentes Maladie'!K:K)&gt;0,0,'Plan annuel Différentes Maladie'!#REF!*Population!#REF!)</f>
        <v>0</v>
      </c>
      <c r="AI32" s="22" t="e">
        <f>'Plan annuel Différentes Maladie'!#REF!*Population!#REF!</f>
        <v>#REF!</v>
      </c>
      <c r="AJ32" s="22" t="e">
        <f>'Plan annuel Différentes Maladie'!#REF!*Population!#REF!*'Page d''accueil'!$F$16</f>
        <v>#REF!</v>
      </c>
      <c r="AK32" s="22" t="e">
        <f>'Plan annuel Différentes Maladie'!#REF!*Population!#REF!*'Page d''accueil'!$F$15</f>
        <v>#REF!</v>
      </c>
      <c r="AL32" s="22" t="e">
        <f>'Plan annuel Différentes Maladie'!#REF!*Population!#REF!*'Page d''accueil'!$F$16</f>
        <v>#REF!</v>
      </c>
      <c r="AM32" s="22" t="e">
        <f>'Plan annuel Différentes Maladie'!#REF!*Population!#REF!</f>
        <v>#REF!</v>
      </c>
      <c r="AN32" s="22" t="e">
        <f>'Plan annuel Différentes Maladie'!#REF!*Population!#REF!</f>
        <v>#REF!</v>
      </c>
      <c r="AO32" s="22" t="e">
        <f>'Plan annuel Différentes Maladie'!#REF!*Population!#REF!</f>
        <v>#REF!</v>
      </c>
      <c r="AP32" s="22" t="e">
        <f>'Plan annuel Différentes Maladie'!#REF!*Population!#REF!</f>
        <v>#REF!</v>
      </c>
      <c r="AQ32" s="22" t="e">
        <f>'Plan annuel Différentes Maladie'!#REF!*Population!#REF!</f>
        <v>#REF!</v>
      </c>
      <c r="AR32" s="22" t="e">
        <f>'Plan annuel Différentes Maladie'!#REF!*Population!#REF!*'Page d''accueil'!$J$14</f>
        <v>#REF!</v>
      </c>
      <c r="AS32" s="22" t="e">
        <f>'Plan annuel Différentes Maladie'!#REF!*Population!#REF!*'Page d''accueil'!$J$15</f>
        <v>#REF!</v>
      </c>
      <c r="AT32" s="22" t="e">
        <f>'Plan annuel Différentes Maladie'!#REF!*Population!#REF!*'Page d''accueil'!$F$15</f>
        <v>#REF!</v>
      </c>
      <c r="AU32" s="22" t="e">
        <f>'Plan annuel Différentes Maladie'!#REF!*Population!#REF!*'Page d''accueil'!$F$16</f>
        <v>#REF!</v>
      </c>
      <c r="AV32" s="22" t="e">
        <f>MAX('Pop Cibles'!AH32,'Pop Cibles'!AO32,('Pop Cibles'!AR32+'Pop Cibles'!AS32))+MAX('Pop Cibles'!AI32,'Pop Cibles'!AK32,'Pop Cibles'!AM32,'Pop Cibles'!AP32,'Pop Cibles'!AT32)+MAX('Pop Cibles'!AJ32,'Pop Cibles'!AL32,'Pop Cibles'!AN32,'Pop Cibles'!AQ32,'Pop Cibles'!AU32)</f>
        <v>#REF!</v>
      </c>
      <c r="AW32" s="22">
        <f>IF(SUM('Plan annuel Différentes Maladie'!K:K)&gt;0,0,'Plan annuel Différentes Maladie'!#REF!*Population!#REF!)</f>
        <v>0</v>
      </c>
      <c r="AX32" s="22" t="e">
        <f>'Plan annuel Différentes Maladie'!#REF!*Population!#REF!</f>
        <v>#REF!</v>
      </c>
      <c r="AY32" s="22" t="e">
        <f>'Plan annuel Différentes Maladie'!#REF!*Population!#REF!*'Page d''accueil'!$F$16</f>
        <v>#REF!</v>
      </c>
      <c r="AZ32" s="22" t="e">
        <f>'Plan annuel Différentes Maladie'!#REF!*Population!#REF!*'Page d''accueil'!$F$15</f>
        <v>#REF!</v>
      </c>
      <c r="BA32" s="22" t="e">
        <f>'Plan annuel Différentes Maladie'!#REF!*Population!#REF!*'Page d''accueil'!$F$16</f>
        <v>#REF!</v>
      </c>
      <c r="BB32" s="22" t="e">
        <f>'Plan annuel Différentes Maladie'!#REF!*Population!#REF!</f>
        <v>#REF!</v>
      </c>
      <c r="BC32" s="22" t="e">
        <f>'Plan annuel Différentes Maladie'!#REF!*Population!#REF!</f>
        <v>#REF!</v>
      </c>
      <c r="BD32" s="22" t="e">
        <f>'Plan annuel Différentes Maladie'!#REF!*Population!#REF!</f>
        <v>#REF!</v>
      </c>
      <c r="BE32" s="22" t="e">
        <f>'Plan annuel Différentes Maladie'!#REF!*Population!#REF!</f>
        <v>#REF!</v>
      </c>
      <c r="BF32" s="22" t="e">
        <f>'Plan annuel Différentes Maladie'!#REF!*Population!#REF!</f>
        <v>#REF!</v>
      </c>
      <c r="BG32" s="22" t="e">
        <f>'Plan annuel Différentes Maladie'!#REF!*Population!#REF!*'Page d''accueil'!$J$14</f>
        <v>#REF!</v>
      </c>
      <c r="BH32" s="22" t="e">
        <f>'Plan annuel Différentes Maladie'!#REF!*Population!#REF!*'Page d''accueil'!$J$15</f>
        <v>#REF!</v>
      </c>
      <c r="BI32" s="22" t="e">
        <f>'Plan annuel Différentes Maladie'!#REF!*Population!#REF!*'Page d''accueil'!$F$15</f>
        <v>#REF!</v>
      </c>
      <c r="BJ32" s="22" t="e">
        <f>'Plan annuel Différentes Maladie'!#REF!*Population!#REF!*'Page d''accueil'!$F$16</f>
        <v>#REF!</v>
      </c>
      <c r="BK32" s="22" t="e">
        <f>MAX('Pop Cibles'!AW32,'Pop Cibles'!BD32,('Pop Cibles'!BG32+'Pop Cibles'!BH32))+MAX('Pop Cibles'!AX32,'Pop Cibles'!AZ32,'Pop Cibles'!BB32,'Pop Cibles'!BE32,'Pop Cibles'!BI32)+MAX('Pop Cibles'!AY32,'Pop Cibles'!BA32,'Pop Cibles'!BC32,'Pop Cibles'!BF32,'Pop Cibles'!BJ32)</f>
        <v>#REF!</v>
      </c>
      <c r="BL32" s="22">
        <f>IF(SUM('Plan annuel Différentes Maladie'!K:K)&gt;0,0,'Plan annuel Différentes Maladie'!#REF!*Population!#REF!)</f>
        <v>0</v>
      </c>
      <c r="BM32" s="22" t="e">
        <f>'Plan annuel Différentes Maladie'!#REF!*Population!#REF!</f>
        <v>#REF!</v>
      </c>
      <c r="BN32" s="22" t="e">
        <f>'Plan annuel Différentes Maladie'!#REF!*Population!#REF!*'Page d''accueil'!$F$16</f>
        <v>#REF!</v>
      </c>
      <c r="BO32" s="22" t="e">
        <f>'Plan annuel Différentes Maladie'!#REF!*Population!#REF!*'Page d''accueil'!$F$15</f>
        <v>#REF!</v>
      </c>
      <c r="BP32" s="22" t="e">
        <f>'Plan annuel Différentes Maladie'!#REF!*Population!#REF!*'Page d''accueil'!$F$16</f>
        <v>#REF!</v>
      </c>
      <c r="BQ32" s="22" t="e">
        <f>'Plan annuel Différentes Maladie'!#REF!*Population!#REF!</f>
        <v>#REF!</v>
      </c>
      <c r="BR32" s="22" t="e">
        <f>'Plan annuel Différentes Maladie'!#REF!*Population!#REF!</f>
        <v>#REF!</v>
      </c>
      <c r="BS32" s="22" t="e">
        <f>'Plan annuel Différentes Maladie'!#REF!*Population!#REF!</f>
        <v>#REF!</v>
      </c>
      <c r="BT32" s="22" t="e">
        <f>'Plan annuel Différentes Maladie'!#REF!*Population!#REF!</f>
        <v>#REF!</v>
      </c>
      <c r="BU32" s="22" t="e">
        <f>'Plan annuel Différentes Maladie'!#REF!*Population!#REF!</f>
        <v>#REF!</v>
      </c>
      <c r="BV32" s="22" t="e">
        <f>'Plan annuel Différentes Maladie'!#REF!*Population!#REF!*'Page d''accueil'!$J$14</f>
        <v>#REF!</v>
      </c>
      <c r="BW32" s="22" t="e">
        <f>'Plan annuel Différentes Maladie'!#REF!*Population!#REF!*'Page d''accueil'!$J$15</f>
        <v>#REF!</v>
      </c>
      <c r="BX32" s="22" t="e">
        <f>'Plan annuel Différentes Maladie'!#REF!*Population!#REF!*'Page d''accueil'!$F$15</f>
        <v>#REF!</v>
      </c>
      <c r="BY32" s="22" t="e">
        <f>'Plan annuel Différentes Maladie'!#REF!*Population!#REF!*'Page d''accueil'!$F$16</f>
        <v>#REF!</v>
      </c>
      <c r="BZ32" s="22" t="e">
        <f>MAX('Pop Cibles'!BL32,'Pop Cibles'!BS32,('Pop Cibles'!BV32+'Pop Cibles'!BW32))+MAX('Pop Cibles'!BM32,'Pop Cibles'!BO32,'Pop Cibles'!BQ32,'Pop Cibles'!BT32,'Pop Cibles'!BX32)+MAX('Pop Cibles'!BN32,'Pop Cibles'!BP32,'Pop Cibles'!BR32,'Pop Cibles'!BU32,'Pop Cibles'!BY32)</f>
        <v>#REF!</v>
      </c>
    </row>
    <row r="33" spans="1:78" s="5" customFormat="1" ht="12">
      <c r="A33" s="19">
        <v>30</v>
      </c>
      <c r="B33" s="21" t="e">
        <f>'Plan annuel Différentes Maladie'!#REF!</f>
        <v>#REF!</v>
      </c>
      <c r="C33" s="21" t="e">
        <f>Population!#REF!</f>
        <v>#REF!</v>
      </c>
      <c r="D33" s="22">
        <f>IF(SUM('Plan annuel Différentes Maladie'!K:K)&gt;0,0,'Plan annuel Différentes Maladie'!#REF!*Population!#REF!)</f>
        <v>0</v>
      </c>
      <c r="E33" s="22" t="e">
        <f>'Plan annuel Différentes Maladie'!#REF!*Population!#REF!</f>
        <v>#REF!</v>
      </c>
      <c r="F33" s="22" t="e">
        <f>'Plan annuel Différentes Maladie'!#REF!*Population!#REF!*'Page d''accueil'!$F$16</f>
        <v>#REF!</v>
      </c>
      <c r="G33" s="22" t="e">
        <f>'Plan annuel Différentes Maladie'!#REF!*Population!#REF!*'Page d''accueil'!$F$15</f>
        <v>#REF!</v>
      </c>
      <c r="H33" s="22" t="e">
        <f>'Plan annuel Différentes Maladie'!#REF!*Population!#REF!*'Page d''accueil'!$F$16</f>
        <v>#REF!</v>
      </c>
      <c r="I33" s="22" t="e">
        <f>'Plan annuel Différentes Maladie'!#REF!*Population!#REF!</f>
        <v>#REF!</v>
      </c>
      <c r="J33" s="22" t="e">
        <f>'Plan annuel Différentes Maladie'!#REF!*Population!#REF!</f>
        <v>#REF!</v>
      </c>
      <c r="K33" s="22" t="e">
        <f>'Plan annuel Différentes Maladie'!#REF!*Population!#REF!</f>
        <v>#REF!</v>
      </c>
      <c r="L33" s="22" t="e">
        <f>'Plan annuel Différentes Maladie'!#REF!*Population!#REF!</f>
        <v>#REF!</v>
      </c>
      <c r="M33" s="22" t="e">
        <f>'Plan annuel Différentes Maladie'!#REF!*Population!#REF!</f>
        <v>#REF!</v>
      </c>
      <c r="N33" s="22" t="e">
        <f>'Plan annuel Différentes Maladie'!#REF!*Population!#REF!*'Page d''accueil'!$J$14</f>
        <v>#REF!</v>
      </c>
      <c r="O33" s="22" t="e">
        <f>'Plan annuel Différentes Maladie'!#REF!*Population!#REF!*'Page d''accueil'!$J$15</f>
        <v>#REF!</v>
      </c>
      <c r="P33" s="22" t="e">
        <f>'Plan annuel Différentes Maladie'!#REF!*Population!#REF!*'Page d''accueil'!$F$15</f>
        <v>#REF!</v>
      </c>
      <c r="Q33" s="22" t="e">
        <f>'Plan annuel Différentes Maladie'!#REF!*Population!#REF!*'Page d''accueil'!$F$16</f>
        <v>#REF!</v>
      </c>
      <c r="R33" s="22" t="e">
        <f>MAX('Pop Cibles'!D33,'Pop Cibles'!K33,('Pop Cibles'!N33+'Pop Cibles'!O33))+MAX('Pop Cibles'!E33,'Pop Cibles'!G33,'Pop Cibles'!I33,'Pop Cibles'!L33,'Pop Cibles'!P33)+MAX('Pop Cibles'!F33,'Pop Cibles'!H33,'Pop Cibles'!J33,'Pop Cibles'!M33,'Pop Cibles'!Q33)</f>
        <v>#REF!</v>
      </c>
      <c r="S33" s="22">
        <f>IF(SUM('Plan annuel Différentes Maladie'!K:K)&gt;0,0,'Plan annuel Différentes Maladie'!#REF!*Population!#REF!)</f>
        <v>0</v>
      </c>
      <c r="T33" s="22" t="e">
        <f>'Plan annuel Différentes Maladie'!#REF!*Population!#REF!</f>
        <v>#REF!</v>
      </c>
      <c r="U33" s="22" t="e">
        <f>'Plan annuel Différentes Maladie'!#REF!*Population!#REF!*'Page d''accueil'!$F$16</f>
        <v>#REF!</v>
      </c>
      <c r="V33" s="22" t="e">
        <f>'Plan annuel Différentes Maladie'!#REF!*Population!#REF!*'Page d''accueil'!$F$15</f>
        <v>#REF!</v>
      </c>
      <c r="W33" s="22" t="e">
        <f>'Plan annuel Différentes Maladie'!#REF!*Population!#REF!*'Page d''accueil'!$F$16</f>
        <v>#REF!</v>
      </c>
      <c r="X33" s="22" t="e">
        <f>'Plan annuel Différentes Maladie'!#REF!*Population!#REF!</f>
        <v>#REF!</v>
      </c>
      <c r="Y33" s="22" t="e">
        <f>'Plan annuel Différentes Maladie'!#REF!*Population!#REF!</f>
        <v>#REF!</v>
      </c>
      <c r="Z33" s="22" t="e">
        <f>'Plan annuel Différentes Maladie'!#REF!*Population!#REF!</f>
        <v>#REF!</v>
      </c>
      <c r="AA33" s="22" t="e">
        <f>'Plan annuel Différentes Maladie'!#REF!*Population!#REF!</f>
        <v>#REF!</v>
      </c>
      <c r="AB33" s="22" t="e">
        <f>'Plan annuel Différentes Maladie'!#REF!*Population!#REF!</f>
        <v>#REF!</v>
      </c>
      <c r="AC33" s="22" t="e">
        <f>'Plan annuel Différentes Maladie'!#REF!*Population!#REF!*'Page d''accueil'!$J$14</f>
        <v>#REF!</v>
      </c>
      <c r="AD33" s="22" t="e">
        <f>'Plan annuel Différentes Maladie'!#REF!*Population!#REF!*'Page d''accueil'!$J$15</f>
        <v>#REF!</v>
      </c>
      <c r="AE33" s="22" t="e">
        <f>'Plan annuel Différentes Maladie'!#REF!*Population!#REF!*'Page d''accueil'!$F$15</f>
        <v>#REF!</v>
      </c>
      <c r="AF33" s="22" t="e">
        <f>'Plan annuel Différentes Maladie'!#REF!*Population!#REF!*'Page d''accueil'!$F$16</f>
        <v>#REF!</v>
      </c>
      <c r="AG33" s="22" t="e">
        <f>MAX('Pop Cibles'!S33,'Pop Cibles'!Z33,('Pop Cibles'!AC33+'Pop Cibles'!AD33))+MAX('Pop Cibles'!T33,'Pop Cibles'!V33,'Pop Cibles'!X33,'Pop Cibles'!AA33,'Pop Cibles'!AE33)+MAX('Pop Cibles'!U33,'Pop Cibles'!W33,'Pop Cibles'!Y33,'Pop Cibles'!AB33,'Pop Cibles'!AF33)</f>
        <v>#REF!</v>
      </c>
      <c r="AH33" s="22">
        <f>IF(SUM('Plan annuel Différentes Maladie'!K:K)&gt;0,0,'Plan annuel Différentes Maladie'!#REF!*Population!#REF!)</f>
        <v>0</v>
      </c>
      <c r="AI33" s="22" t="e">
        <f>'Plan annuel Différentes Maladie'!#REF!*Population!#REF!</f>
        <v>#REF!</v>
      </c>
      <c r="AJ33" s="22" t="e">
        <f>'Plan annuel Différentes Maladie'!#REF!*Population!#REF!*'Page d''accueil'!$F$16</f>
        <v>#REF!</v>
      </c>
      <c r="AK33" s="22" t="e">
        <f>'Plan annuel Différentes Maladie'!#REF!*Population!#REF!*'Page d''accueil'!$F$15</f>
        <v>#REF!</v>
      </c>
      <c r="AL33" s="22" t="e">
        <f>'Plan annuel Différentes Maladie'!#REF!*Population!#REF!*'Page d''accueil'!$F$16</f>
        <v>#REF!</v>
      </c>
      <c r="AM33" s="22" t="e">
        <f>'Plan annuel Différentes Maladie'!#REF!*Population!#REF!</f>
        <v>#REF!</v>
      </c>
      <c r="AN33" s="22" t="e">
        <f>'Plan annuel Différentes Maladie'!#REF!*Population!#REF!</f>
        <v>#REF!</v>
      </c>
      <c r="AO33" s="22" t="e">
        <f>'Plan annuel Différentes Maladie'!#REF!*Population!#REF!</f>
        <v>#REF!</v>
      </c>
      <c r="AP33" s="22" t="e">
        <f>'Plan annuel Différentes Maladie'!#REF!*Population!#REF!</f>
        <v>#REF!</v>
      </c>
      <c r="AQ33" s="22" t="e">
        <f>'Plan annuel Différentes Maladie'!#REF!*Population!#REF!</f>
        <v>#REF!</v>
      </c>
      <c r="AR33" s="22" t="e">
        <f>'Plan annuel Différentes Maladie'!#REF!*Population!#REF!*'Page d''accueil'!$J$14</f>
        <v>#REF!</v>
      </c>
      <c r="AS33" s="22" t="e">
        <f>'Plan annuel Différentes Maladie'!#REF!*Population!#REF!*'Page d''accueil'!$J$15</f>
        <v>#REF!</v>
      </c>
      <c r="AT33" s="22" t="e">
        <f>'Plan annuel Différentes Maladie'!#REF!*Population!#REF!*'Page d''accueil'!$F$15</f>
        <v>#REF!</v>
      </c>
      <c r="AU33" s="22" t="e">
        <f>'Plan annuel Différentes Maladie'!#REF!*Population!#REF!*'Page d''accueil'!$F$16</f>
        <v>#REF!</v>
      </c>
      <c r="AV33" s="22" t="e">
        <f>MAX('Pop Cibles'!AH33,'Pop Cibles'!AO33,('Pop Cibles'!AR33+'Pop Cibles'!AS33))+MAX('Pop Cibles'!AI33,'Pop Cibles'!AK33,'Pop Cibles'!AM33,'Pop Cibles'!AP33,'Pop Cibles'!AT33)+MAX('Pop Cibles'!AJ33,'Pop Cibles'!AL33,'Pop Cibles'!AN33,'Pop Cibles'!AQ33,'Pop Cibles'!AU33)</f>
        <v>#REF!</v>
      </c>
      <c r="AW33" s="22">
        <f>IF(SUM('Plan annuel Différentes Maladie'!K:K)&gt;0,0,'Plan annuel Différentes Maladie'!#REF!*Population!#REF!)</f>
        <v>0</v>
      </c>
      <c r="AX33" s="22" t="e">
        <f>'Plan annuel Différentes Maladie'!#REF!*Population!#REF!</f>
        <v>#REF!</v>
      </c>
      <c r="AY33" s="22" t="e">
        <f>'Plan annuel Différentes Maladie'!#REF!*Population!#REF!*'Page d''accueil'!$F$16</f>
        <v>#REF!</v>
      </c>
      <c r="AZ33" s="22" t="e">
        <f>'Plan annuel Différentes Maladie'!#REF!*Population!#REF!*'Page d''accueil'!$F$15</f>
        <v>#REF!</v>
      </c>
      <c r="BA33" s="22" t="e">
        <f>'Plan annuel Différentes Maladie'!#REF!*Population!#REF!*'Page d''accueil'!$F$16</f>
        <v>#REF!</v>
      </c>
      <c r="BB33" s="22" t="e">
        <f>'Plan annuel Différentes Maladie'!#REF!*Population!#REF!</f>
        <v>#REF!</v>
      </c>
      <c r="BC33" s="22" t="e">
        <f>'Plan annuel Différentes Maladie'!#REF!*Population!#REF!</f>
        <v>#REF!</v>
      </c>
      <c r="BD33" s="22" t="e">
        <f>'Plan annuel Différentes Maladie'!#REF!*Population!#REF!</f>
        <v>#REF!</v>
      </c>
      <c r="BE33" s="22" t="e">
        <f>'Plan annuel Différentes Maladie'!#REF!*Population!#REF!</f>
        <v>#REF!</v>
      </c>
      <c r="BF33" s="22" t="e">
        <f>'Plan annuel Différentes Maladie'!#REF!*Population!#REF!</f>
        <v>#REF!</v>
      </c>
      <c r="BG33" s="22" t="e">
        <f>'Plan annuel Différentes Maladie'!#REF!*Population!#REF!*'Page d''accueil'!$J$14</f>
        <v>#REF!</v>
      </c>
      <c r="BH33" s="22" t="e">
        <f>'Plan annuel Différentes Maladie'!#REF!*Population!#REF!*'Page d''accueil'!$J$15</f>
        <v>#REF!</v>
      </c>
      <c r="BI33" s="22" t="e">
        <f>'Plan annuel Différentes Maladie'!#REF!*Population!#REF!*'Page d''accueil'!$F$15</f>
        <v>#REF!</v>
      </c>
      <c r="BJ33" s="22" t="e">
        <f>'Plan annuel Différentes Maladie'!#REF!*Population!#REF!*'Page d''accueil'!$F$16</f>
        <v>#REF!</v>
      </c>
      <c r="BK33" s="22" t="e">
        <f>MAX('Pop Cibles'!AW33,'Pop Cibles'!BD33,('Pop Cibles'!BG33+'Pop Cibles'!BH33))+MAX('Pop Cibles'!AX33,'Pop Cibles'!AZ33,'Pop Cibles'!BB33,'Pop Cibles'!BE33,'Pop Cibles'!BI33)+MAX('Pop Cibles'!AY33,'Pop Cibles'!BA33,'Pop Cibles'!BC33,'Pop Cibles'!BF33,'Pop Cibles'!BJ33)</f>
        <v>#REF!</v>
      </c>
      <c r="BL33" s="22">
        <f>IF(SUM('Plan annuel Différentes Maladie'!K:K)&gt;0,0,'Plan annuel Différentes Maladie'!#REF!*Population!#REF!)</f>
        <v>0</v>
      </c>
      <c r="BM33" s="22" t="e">
        <f>'Plan annuel Différentes Maladie'!#REF!*Population!#REF!</f>
        <v>#REF!</v>
      </c>
      <c r="BN33" s="22" t="e">
        <f>'Plan annuel Différentes Maladie'!#REF!*Population!#REF!*'Page d''accueil'!$F$16</f>
        <v>#REF!</v>
      </c>
      <c r="BO33" s="22" t="e">
        <f>'Plan annuel Différentes Maladie'!#REF!*Population!#REF!*'Page d''accueil'!$F$15</f>
        <v>#REF!</v>
      </c>
      <c r="BP33" s="22" t="e">
        <f>'Plan annuel Différentes Maladie'!#REF!*Population!#REF!*'Page d''accueil'!$F$16</f>
        <v>#REF!</v>
      </c>
      <c r="BQ33" s="22" t="e">
        <f>'Plan annuel Différentes Maladie'!#REF!*Population!#REF!</f>
        <v>#REF!</v>
      </c>
      <c r="BR33" s="22" t="e">
        <f>'Plan annuel Différentes Maladie'!#REF!*Population!#REF!</f>
        <v>#REF!</v>
      </c>
      <c r="BS33" s="22" t="e">
        <f>'Plan annuel Différentes Maladie'!#REF!*Population!#REF!</f>
        <v>#REF!</v>
      </c>
      <c r="BT33" s="22" t="e">
        <f>'Plan annuel Différentes Maladie'!#REF!*Population!#REF!</f>
        <v>#REF!</v>
      </c>
      <c r="BU33" s="22" t="e">
        <f>'Plan annuel Différentes Maladie'!#REF!*Population!#REF!</f>
        <v>#REF!</v>
      </c>
      <c r="BV33" s="22" t="e">
        <f>'Plan annuel Différentes Maladie'!#REF!*Population!#REF!*'Page d''accueil'!$J$14</f>
        <v>#REF!</v>
      </c>
      <c r="BW33" s="22" t="e">
        <f>'Plan annuel Différentes Maladie'!#REF!*Population!#REF!*'Page d''accueil'!$J$15</f>
        <v>#REF!</v>
      </c>
      <c r="BX33" s="22" t="e">
        <f>'Plan annuel Différentes Maladie'!#REF!*Population!#REF!*'Page d''accueil'!$F$15</f>
        <v>#REF!</v>
      </c>
      <c r="BY33" s="22" t="e">
        <f>'Plan annuel Différentes Maladie'!#REF!*Population!#REF!*'Page d''accueil'!$F$16</f>
        <v>#REF!</v>
      </c>
      <c r="BZ33" s="22" t="e">
        <f>MAX('Pop Cibles'!BL33,'Pop Cibles'!BS33,('Pop Cibles'!BV33+'Pop Cibles'!BW33))+MAX('Pop Cibles'!BM33,'Pop Cibles'!BO33,'Pop Cibles'!BQ33,'Pop Cibles'!BT33,'Pop Cibles'!BX33)+MAX('Pop Cibles'!BN33,'Pop Cibles'!BP33,'Pop Cibles'!BR33,'Pop Cibles'!BU33,'Pop Cibles'!BY33)</f>
        <v>#REF!</v>
      </c>
    </row>
  </sheetData>
  <sheetProtection sheet="1" objects="1" scenarios="1"/>
  <autoFilter ref="A3:Q33"/>
  <mergeCells count="38">
    <mergeCell ref="D1:R1"/>
    <mergeCell ref="S1:AG1"/>
    <mergeCell ref="AH1:AV1"/>
    <mergeCell ref="AW1:BK1"/>
    <mergeCell ref="BL1:BZ1"/>
    <mergeCell ref="D2:F2"/>
    <mergeCell ref="G2:H2"/>
    <mergeCell ref="I2:J2"/>
    <mergeCell ref="K2:M2"/>
    <mergeCell ref="N2:Q2"/>
    <mergeCell ref="S2:U2"/>
    <mergeCell ref="V2:W2"/>
    <mergeCell ref="X2:Y2"/>
    <mergeCell ref="Z2:AB2"/>
    <mergeCell ref="AC2:AF2"/>
    <mergeCell ref="BG2:BJ2"/>
    <mergeCell ref="AH2:AJ2"/>
    <mergeCell ref="AK2:AL2"/>
    <mergeCell ref="AM2:AN2"/>
    <mergeCell ref="AO2:AQ2"/>
    <mergeCell ref="AR2:AU2"/>
    <mergeCell ref="AV2:AV3"/>
    <mergeCell ref="BK2:BK3"/>
    <mergeCell ref="BZ2:BZ3"/>
    <mergeCell ref="A1:A3"/>
    <mergeCell ref="B1:B3"/>
    <mergeCell ref="C1:C3"/>
    <mergeCell ref="R2:R3"/>
    <mergeCell ref="AG2:AG3"/>
    <mergeCell ref="BL2:BN2"/>
    <mergeCell ref="BO2:BP2"/>
    <mergeCell ref="BQ2:BR2"/>
    <mergeCell ref="BS2:BU2"/>
    <mergeCell ref="BV2:BY2"/>
    <mergeCell ref="AW2:AY2"/>
    <mergeCell ref="AZ2:BA2"/>
    <mergeCell ref="BB2:BC2"/>
    <mergeCell ref="BD2:BF2"/>
  </mergeCells>
  <pageMargins left="0.74791666666666701" right="0.74791666666666701" top="0.47222222222222199" bottom="0.98402777777777795" header="0.156944444444444" footer="0.51180555555555596"/>
  <pageSetup paperSize="8" scale="5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AQ33"/>
  <sheetViews>
    <sheetView showGridLines="0" view="pageBreakPreview" topLeftCell="AH1" zoomScale="96" zoomScaleNormal="100" zoomScaleSheetLayoutView="96" workbookViewId="0">
      <pane ySplit="3" topLeftCell="A4" activePane="bottomLeft" state="frozen"/>
      <selection pane="bottomLeft" activeCell="N14" sqref="N14"/>
    </sheetView>
  </sheetViews>
  <sheetFormatPr baseColWidth="10" defaultColWidth="9.140625" defaultRowHeight="12.75"/>
  <cols>
    <col min="1" max="1" width="4.42578125" style="15" customWidth="1"/>
    <col min="2" max="2" width="20.140625" style="15" customWidth="1"/>
    <col min="3" max="3" width="28" style="15" customWidth="1"/>
    <col min="4" max="8" width="11" style="15" customWidth="1"/>
    <col min="9" max="18" width="9.85546875" style="16" customWidth="1"/>
    <col min="19" max="23" width="11" style="15" customWidth="1"/>
    <col min="24" max="33" width="9.85546875" style="16" customWidth="1"/>
    <col min="34" max="38" width="11" style="15" customWidth="1"/>
    <col min="39" max="43" width="9.85546875" style="16" customWidth="1"/>
    <col min="44" max="44" width="9.140625" style="16" customWidth="1"/>
    <col min="45" max="16384" width="9.140625" style="16"/>
  </cols>
  <sheetData>
    <row r="1" spans="1:43" s="5" customFormat="1" ht="15" hidden="1" customHeight="1">
      <c r="A1" s="295" t="s">
        <v>51</v>
      </c>
      <c r="B1" s="17"/>
      <c r="C1" s="295" t="s">
        <v>53</v>
      </c>
      <c r="D1" s="363"/>
      <c r="E1" s="364"/>
      <c r="F1" s="364"/>
      <c r="G1" s="364"/>
      <c r="H1" s="364"/>
      <c r="I1" s="364"/>
      <c r="J1" s="364"/>
      <c r="K1" s="364"/>
      <c r="L1" s="364"/>
      <c r="M1" s="364"/>
      <c r="N1" s="364"/>
      <c r="O1" s="364"/>
      <c r="P1" s="364"/>
      <c r="Q1" s="364"/>
      <c r="R1" s="364"/>
      <c r="S1" s="363"/>
      <c r="T1" s="364"/>
      <c r="U1" s="364"/>
      <c r="V1" s="364"/>
      <c r="W1" s="364"/>
      <c r="X1" s="364"/>
      <c r="Y1" s="364"/>
      <c r="Z1" s="364"/>
      <c r="AA1" s="364"/>
      <c r="AB1" s="364"/>
      <c r="AC1" s="364"/>
      <c r="AD1" s="364"/>
      <c r="AE1" s="364"/>
      <c r="AF1" s="364"/>
      <c r="AG1" s="365"/>
      <c r="AH1" s="363"/>
      <c r="AI1" s="364"/>
      <c r="AJ1" s="364"/>
      <c r="AK1" s="364"/>
      <c r="AL1" s="364"/>
      <c r="AM1" s="364"/>
      <c r="AN1" s="364"/>
      <c r="AO1" s="364"/>
      <c r="AP1" s="364"/>
      <c r="AQ1" s="364"/>
    </row>
    <row r="2" spans="1:43" s="5" customFormat="1" ht="15" customHeight="1">
      <c r="A2" s="295"/>
      <c r="B2" s="296" t="s">
        <v>52</v>
      </c>
      <c r="C2" s="295"/>
      <c r="D2" s="363" t="s">
        <v>258</v>
      </c>
      <c r="E2" s="364"/>
      <c r="F2" s="364"/>
      <c r="G2" s="364"/>
      <c r="H2" s="365"/>
      <c r="I2" s="363" t="s">
        <v>259</v>
      </c>
      <c r="J2" s="364"/>
      <c r="K2" s="364"/>
      <c r="L2" s="364"/>
      <c r="M2" s="365"/>
      <c r="N2" s="295" t="s">
        <v>260</v>
      </c>
      <c r="O2" s="295"/>
      <c r="P2" s="295"/>
      <c r="Q2" s="295"/>
      <c r="R2" s="295"/>
      <c r="S2" s="363" t="s">
        <v>261</v>
      </c>
      <c r="T2" s="364"/>
      <c r="U2" s="364"/>
      <c r="V2" s="364"/>
      <c r="W2" s="365"/>
      <c r="X2" s="363" t="s">
        <v>262</v>
      </c>
      <c r="Y2" s="364"/>
      <c r="Z2" s="364"/>
      <c r="AA2" s="364"/>
      <c r="AB2" s="365"/>
      <c r="AC2" s="295" t="s">
        <v>191</v>
      </c>
      <c r="AD2" s="295"/>
      <c r="AE2" s="295"/>
      <c r="AF2" s="295"/>
      <c r="AG2" s="295"/>
      <c r="AH2" s="363" t="s">
        <v>263</v>
      </c>
      <c r="AI2" s="364"/>
      <c r="AJ2" s="364"/>
      <c r="AK2" s="364"/>
      <c r="AL2" s="365"/>
      <c r="AM2" s="363" t="s">
        <v>264</v>
      </c>
      <c r="AN2" s="364"/>
      <c r="AO2" s="364"/>
      <c r="AP2" s="364"/>
      <c r="AQ2" s="365"/>
    </row>
    <row r="3" spans="1:43" s="5" customFormat="1" ht="14.25" customHeight="1">
      <c r="A3" s="295"/>
      <c r="B3" s="298"/>
      <c r="C3" s="295"/>
      <c r="D3" s="17">
        <f>'Page d''accueil'!F5</f>
        <v>2018</v>
      </c>
      <c r="E3" s="17">
        <f>D3+1</f>
        <v>2019</v>
      </c>
      <c r="F3" s="17">
        <f>E3+1</f>
        <v>2020</v>
      </c>
      <c r="G3" s="17">
        <f>F3+1</f>
        <v>2021</v>
      </c>
      <c r="H3" s="17">
        <f>G3+1</f>
        <v>2022</v>
      </c>
      <c r="I3" s="17">
        <f t="shared" ref="I3:AQ3" si="0">D3</f>
        <v>2018</v>
      </c>
      <c r="J3" s="17">
        <f t="shared" si="0"/>
        <v>2019</v>
      </c>
      <c r="K3" s="17">
        <f t="shared" si="0"/>
        <v>2020</v>
      </c>
      <c r="L3" s="17">
        <f t="shared" si="0"/>
        <v>2021</v>
      </c>
      <c r="M3" s="17">
        <f t="shared" si="0"/>
        <v>2022</v>
      </c>
      <c r="N3" s="18">
        <f t="shared" si="0"/>
        <v>2018</v>
      </c>
      <c r="O3" s="18">
        <f t="shared" si="0"/>
        <v>2019</v>
      </c>
      <c r="P3" s="18">
        <f t="shared" si="0"/>
        <v>2020</v>
      </c>
      <c r="Q3" s="18">
        <f t="shared" si="0"/>
        <v>2021</v>
      </c>
      <c r="R3" s="18">
        <f t="shared" si="0"/>
        <v>2022</v>
      </c>
      <c r="S3" s="17">
        <f t="shared" si="0"/>
        <v>2018</v>
      </c>
      <c r="T3" s="17">
        <f t="shared" si="0"/>
        <v>2019</v>
      </c>
      <c r="U3" s="17">
        <f t="shared" si="0"/>
        <v>2020</v>
      </c>
      <c r="V3" s="17">
        <f t="shared" si="0"/>
        <v>2021</v>
      </c>
      <c r="W3" s="17">
        <f t="shared" si="0"/>
        <v>2022</v>
      </c>
      <c r="X3" s="17">
        <f t="shared" si="0"/>
        <v>2018</v>
      </c>
      <c r="Y3" s="17">
        <f t="shared" si="0"/>
        <v>2019</v>
      </c>
      <c r="Z3" s="17">
        <f t="shared" si="0"/>
        <v>2020</v>
      </c>
      <c r="AA3" s="17">
        <f t="shared" si="0"/>
        <v>2021</v>
      </c>
      <c r="AB3" s="17">
        <f t="shared" si="0"/>
        <v>2022</v>
      </c>
      <c r="AC3" s="17">
        <f t="shared" si="0"/>
        <v>2018</v>
      </c>
      <c r="AD3" s="17">
        <f t="shared" si="0"/>
        <v>2019</v>
      </c>
      <c r="AE3" s="17">
        <f t="shared" si="0"/>
        <v>2020</v>
      </c>
      <c r="AF3" s="17">
        <f t="shared" si="0"/>
        <v>2021</v>
      </c>
      <c r="AG3" s="17">
        <f t="shared" si="0"/>
        <v>2022</v>
      </c>
      <c r="AH3" s="17">
        <f t="shared" si="0"/>
        <v>2018</v>
      </c>
      <c r="AI3" s="17">
        <f t="shared" si="0"/>
        <v>2019</v>
      </c>
      <c r="AJ3" s="17">
        <f t="shared" si="0"/>
        <v>2020</v>
      </c>
      <c r="AK3" s="17">
        <f t="shared" si="0"/>
        <v>2021</v>
      </c>
      <c r="AL3" s="17">
        <f t="shared" si="0"/>
        <v>2022</v>
      </c>
      <c r="AM3" s="17">
        <f t="shared" si="0"/>
        <v>2018</v>
      </c>
      <c r="AN3" s="17">
        <f t="shared" si="0"/>
        <v>2019</v>
      </c>
      <c r="AO3" s="17">
        <f t="shared" si="0"/>
        <v>2020</v>
      </c>
      <c r="AP3" s="17">
        <f t="shared" si="0"/>
        <v>2021</v>
      </c>
      <c r="AQ3" s="17">
        <f t="shared" si="0"/>
        <v>2022</v>
      </c>
    </row>
    <row r="4" spans="1:43" s="5" customFormat="1" ht="12" customHeight="1">
      <c r="A4" s="19">
        <v>1</v>
      </c>
      <c r="B4" s="20" t="str">
        <f>'Pop Cibles'!B4</f>
        <v>BOKE</v>
      </c>
      <c r="C4" s="21" t="str">
        <f>Population!C4</f>
        <v>Boffa</v>
      </c>
      <c r="D4" s="22">
        <f>IF(SUM('Plan annuel Différentes Maladie'!K$4:K$996)&gt;0,(MAX('Pop Cibles'!E4,'Pop Cibles'!G4)+MAX('Pop Cibles'!F4,'Pop Cibles'!H4))*2.8,0)</f>
        <v>0</v>
      </c>
      <c r="E4" s="22">
        <f>IF(SUM('Plan annuel Différentes Maladie'!K$4:K$996)&gt;0,(MAX('Pop Cibles'!T4,'Pop Cibles'!V4)+MAX('Pop Cibles'!U4,'Pop Cibles'!W4))*2.8,0)</f>
        <v>0</v>
      </c>
      <c r="F4" s="22">
        <f>IF(SUM('Plan annuel Différentes Maladie'!K$4:K$996)&gt;0,(MAX('Pop Cibles'!AI4,'Pop Cibles'!AK4)+MAX('Pop Cibles'!AJ4,'Pop Cibles'!AL4))*2.8,0)</f>
        <v>0</v>
      </c>
      <c r="G4" s="22">
        <f>IF(SUM('Plan annuel Différentes Maladie'!K$4:K$996)&gt;0,(MAX('Pop Cibles'!AX4,'Pop Cibles'!AZ4)+MAX('Pop Cibles'!AY4,'Pop Cibles'!BA4))*2.8,0)</f>
        <v>0</v>
      </c>
      <c r="H4" s="22">
        <f>IF(SUM('Plan annuel Différentes Maladie'!K$4:K$996)&gt;0,(MAX('Pop Cibles'!BM4,'Pop Cibles'!BO4)+MAX('Pop Cibles'!BN4,'Pop Cibles'!BP4))*2.8,0)</f>
        <v>0</v>
      </c>
      <c r="I4" s="22">
        <f>IF(SUM('Plan annuel Différentes Maladie'!K$4:K$996)=0,('Pop Cibles'!D4+'Pop Cibles'!E4+'Pop Cibles'!F4)*2.5,0)</f>
        <v>0</v>
      </c>
      <c r="J4" s="22">
        <f>IF(SUM('Plan annuel Différentes Maladie'!K$4:K$996)=0,('Pop Cibles'!S4+'Pop Cibles'!T4+'Pop Cibles'!U4)*2.5,0)</f>
        <v>0</v>
      </c>
      <c r="K4" s="22">
        <f>IF(SUM('Plan annuel Différentes Maladie'!K$4:K$996)=0,('Pop Cibles'!AH4+'Pop Cibles'!AI4+'Pop Cibles'!AJ4)*2.5,0)</f>
        <v>0</v>
      </c>
      <c r="L4" s="22">
        <f>IF(SUM('Plan annuel Différentes Maladie'!K$4:K$996)=0,('Pop Cibles'!AW4+'Pop Cibles'!AX4+'Pop Cibles'!AY4)*2.5,0)</f>
        <v>0</v>
      </c>
      <c r="M4" s="22">
        <f>IF(SUM('Plan annuel Différentes Maladie'!K$4:K$996)=0,('Pop Cibles'!BL4+'Pop Cibles'!BM4+'Pop Cibles'!BN4)*2.5,0)</f>
        <v>0</v>
      </c>
      <c r="N4" s="22">
        <f>'Pop Cibles'!D4+'Pop Cibles'!E4+'Pop Cibles'!F4</f>
        <v>0</v>
      </c>
      <c r="O4" s="22">
        <f>'Pop Cibles'!S4+'Pop Cibles'!T4+'Pop Cibles'!U4</f>
        <v>0</v>
      </c>
      <c r="P4" s="22">
        <f>'Pop Cibles'!AH4+'Pop Cibles'!AI4+'Pop Cibles'!AJ4</f>
        <v>0</v>
      </c>
      <c r="Q4" s="22">
        <f>'Pop Cibles'!AW4+'Pop Cibles'!AX4+'Pop Cibles'!AY4</f>
        <v>0</v>
      </c>
      <c r="R4" s="22">
        <f>'Pop Cibles'!BL4+'Pop Cibles'!BM4+'Pop Cibles'!BN4</f>
        <v>0</v>
      </c>
      <c r="S4" s="22">
        <f>IF('Pop Cibles'!D4&lt;'Pop Cibles'!K4,'Pop Cibles'!K4,0)+IF('Pop Cibles'!E4&lt;'Pop Cibles'!L4,'Pop Cibles'!L4,0)+IF('Pop Cibles'!F4&lt;'Pop Cibles'!M4,'Pop Cibles'!M4,0)</f>
        <v>0</v>
      </c>
      <c r="T4" s="22">
        <f>IF('Pop Cibles'!S4&lt;'Pop Cibles'!Z4,'Pop Cibles'!Z4,0)+IF('Pop Cibles'!T4&lt;'Pop Cibles'!AA4,'Pop Cibles'!AA4,0)+IF('Pop Cibles'!U4&lt;'Pop Cibles'!AB4,'Pop Cibles'!AB4,0)</f>
        <v>0</v>
      </c>
      <c r="U4" s="22">
        <f>IF('Pop Cibles'!AH4&lt;'Pop Cibles'!AO4,'Pop Cibles'!AO4,0)+IF('Pop Cibles'!AI4&lt;'Pop Cibles'!AP4,'Pop Cibles'!AP4,0)+IF('Pop Cibles'!AJ4&lt;'Pop Cibles'!AQ4,'Pop Cibles'!AQ4,0)</f>
        <v>0</v>
      </c>
      <c r="V4" s="22">
        <f>IF('Pop Cibles'!AW4&lt;'Pop Cibles'!BD4,'Pop Cibles'!BD4,0)+IF('Pop Cibles'!AX4&lt;'Pop Cibles'!BE4,'Pop Cibles'!BE4,0)+IF('Pop Cibles'!AY4&lt;'Pop Cibles'!BF4,'Pop Cibles'!BF4,0)</f>
        <v>0</v>
      </c>
      <c r="W4" s="22">
        <f>IF('Pop Cibles'!BL4&lt;'Pop Cibles'!BS4,'Pop Cibles'!BS4,0)+IF('Pop Cibles'!BM4&lt;'Pop Cibles'!BT4,'Pop Cibles'!BT4,0)+IF('Pop Cibles'!BN4&lt;'Pop Cibles'!BU4,'Pop Cibles'!BU4,0)</f>
        <v>0</v>
      </c>
      <c r="X4" s="22">
        <f>'Pop Cibles'!I4*2.5+'Pop Cibles'!J4*3</f>
        <v>0</v>
      </c>
      <c r="Y4" s="22">
        <f>'Pop Cibles'!X4*2.5+'Pop Cibles'!Y4*3</f>
        <v>0</v>
      </c>
      <c r="Z4" s="22">
        <f>'Pop Cibles'!AM4*2.5+'Pop Cibles'!AN4*3</f>
        <v>0</v>
      </c>
      <c r="AA4" s="22">
        <f>'Pop Cibles'!BB4*2.5+'Pop Cibles'!BC4*3</f>
        <v>0</v>
      </c>
      <c r="AB4" s="22">
        <f>'Pop Cibles'!BQ4*2.5+'Pop Cibles'!BR4*3</f>
        <v>0</v>
      </c>
      <c r="AC4" s="22">
        <f>'Pop Cibles'!N4*2</f>
        <v>0</v>
      </c>
      <c r="AD4" s="22">
        <f>'Pop Cibles'!AC4*2</f>
        <v>0</v>
      </c>
      <c r="AE4" s="22">
        <f>'Pop Cibles'!AR4*2</f>
        <v>0</v>
      </c>
      <c r="AF4" s="22">
        <f>'Pop Cibles'!BG4*2</f>
        <v>0</v>
      </c>
      <c r="AG4" s="22">
        <f>'Pop Cibles'!BV4*2</f>
        <v>0</v>
      </c>
      <c r="AH4" s="22">
        <f>'Pop Cibles'!O4*0.33</f>
        <v>0</v>
      </c>
      <c r="AI4" s="22">
        <f>'Pop Cibles'!AD4*0.33</f>
        <v>0</v>
      </c>
      <c r="AJ4" s="22">
        <f>'Pop Cibles'!AS4*0.33</f>
        <v>0</v>
      </c>
      <c r="AK4" s="22">
        <f>'Pop Cibles'!BH4*0.33</f>
        <v>0</v>
      </c>
      <c r="AL4" s="22">
        <f>'Pop Cibles'!BW4*0.33</f>
        <v>0</v>
      </c>
      <c r="AM4" s="22">
        <f>('Pop Cibles'!P4+'Pop Cibles'!Q4)*3</f>
        <v>0</v>
      </c>
      <c r="AN4" s="22">
        <f>('Pop Cibles'!AE4+'Pop Cibles'!AF4)*3</f>
        <v>0</v>
      </c>
      <c r="AO4" s="22">
        <f>('Pop Cibles'!AT4+'Pop Cibles'!AU4)*3</f>
        <v>0</v>
      </c>
      <c r="AP4" s="22">
        <f>('Pop Cibles'!BI4+'Pop Cibles'!BJ4)*3</f>
        <v>0</v>
      </c>
      <c r="AQ4" s="22">
        <f>('Pop Cibles'!BY4+'Pop Cibles'!BY4)*3</f>
        <v>0</v>
      </c>
    </row>
    <row r="5" spans="1:43" s="5" customFormat="1" ht="12" customHeight="1">
      <c r="A5" s="19">
        <v>2</v>
      </c>
      <c r="B5" s="20" t="str">
        <f>'Pop Cibles'!B5</f>
        <v>BOKE</v>
      </c>
      <c r="C5" s="21" t="str">
        <f>Population!C5</f>
        <v>Boké</v>
      </c>
      <c r="D5" s="22">
        <f>IF(SUM('Plan annuel Différentes Maladie'!K$4:K$996)&gt;0,(MAX('Pop Cibles'!E5,'Pop Cibles'!G5)+MAX('Pop Cibles'!F5,'Pop Cibles'!H5))*2.8,0)</f>
        <v>1123368.9599999997</v>
      </c>
      <c r="E5" s="22">
        <f>IF(SUM('Plan annuel Différentes Maladie'!K$4:K$996)&gt;0,(MAX('Pop Cibles'!T5,'Pop Cibles'!V5)+MAX('Pop Cibles'!U5,'Pop Cibles'!W5))*2.8,0)</f>
        <v>1153699.9219199999</v>
      </c>
      <c r="F5" s="22">
        <f>IF(SUM('Plan annuel Différentes Maladie'!K$4:K$996)&gt;0,(MAX('Pop Cibles'!AI5,'Pop Cibles'!AK5)+MAX('Pop Cibles'!AJ5,'Pop Cibles'!AL5))*2.8,0)</f>
        <v>1184849.8198118396</v>
      </c>
      <c r="G5" s="22">
        <f>IF(SUM('Plan annuel Différentes Maladie'!K$4:K$996)&gt;0,(MAX('Pop Cibles'!AX5,'Pop Cibles'!AZ5)+MAX('Pop Cibles'!AY5,'Pop Cibles'!BA5))*2.8,0)</f>
        <v>1216840.7649467594</v>
      </c>
      <c r="H5" s="22">
        <f>IF(SUM('Plan annuel Différentes Maladie'!K$4:K$996)&gt;0,(MAX('Pop Cibles'!BM5,'Pop Cibles'!BO5)+MAX('Pop Cibles'!BN5,'Pop Cibles'!BP5))*2.8,0)</f>
        <v>1249695.4656003218</v>
      </c>
      <c r="I5" s="22">
        <f>IF(SUM('Plan annuel Différentes Maladie'!K$4:K$996)=0,('Pop Cibles'!D5+'Pop Cibles'!E5+'Pop Cibles'!F5)*2.5,0)</f>
        <v>0</v>
      </c>
      <c r="J5" s="22">
        <f>IF(SUM('Plan annuel Différentes Maladie'!K$4:K$996)=0,('Pop Cibles'!S5+'Pop Cibles'!T5+'Pop Cibles'!U5)*2.5,0)</f>
        <v>0</v>
      </c>
      <c r="K5" s="22">
        <f>IF(SUM('Plan annuel Différentes Maladie'!K$4:K$996)=0,('Pop Cibles'!AH5+'Pop Cibles'!AI5+'Pop Cibles'!AJ5)*2.5,0)</f>
        <v>0</v>
      </c>
      <c r="L5" s="22">
        <f>IF(SUM('Plan annuel Différentes Maladie'!K$4:K$996)=0,('Pop Cibles'!AW5+'Pop Cibles'!AX5+'Pop Cibles'!AY5)*2.5,0)</f>
        <v>0</v>
      </c>
      <c r="M5" s="22">
        <f>IF(SUM('Plan annuel Différentes Maladie'!K$4:K$996)=0,('Pop Cibles'!BL5+'Pop Cibles'!BM5+'Pop Cibles'!BN5)*2.5,0)</f>
        <v>0</v>
      </c>
      <c r="N5" s="22">
        <f>'Pop Cibles'!D5+'Pop Cibles'!E5+'Pop Cibles'!F5</f>
        <v>401203.19999999995</v>
      </c>
      <c r="O5" s="22">
        <f>'Pop Cibles'!S5+'Pop Cibles'!T5+'Pop Cibles'!U5</f>
        <v>412035.68639999995</v>
      </c>
      <c r="P5" s="22">
        <f>'Pop Cibles'!AH5+'Pop Cibles'!AI5+'Pop Cibles'!AJ5</f>
        <v>423160.64993279986</v>
      </c>
      <c r="Q5" s="22">
        <f>'Pop Cibles'!AW5+'Pop Cibles'!AX5+'Pop Cibles'!AY5</f>
        <v>434585.98748098552</v>
      </c>
      <c r="R5" s="22">
        <f>'Pop Cibles'!BL5+'Pop Cibles'!BM5+'Pop Cibles'!BN5</f>
        <v>446319.80914297211</v>
      </c>
      <c r="S5" s="22">
        <f>IF('Pop Cibles'!D5&lt;'Pop Cibles'!K5,'Pop Cibles'!K5,0)+IF('Pop Cibles'!E5&lt;'Pop Cibles'!L5,'Pop Cibles'!L5,0)+IF('Pop Cibles'!F5&lt;'Pop Cibles'!M5,'Pop Cibles'!M5,0)</f>
        <v>0</v>
      </c>
      <c r="T5" s="22">
        <f>IF('Pop Cibles'!S5&lt;'Pop Cibles'!Z5,'Pop Cibles'!Z5,0)+IF('Pop Cibles'!T5&lt;'Pop Cibles'!AA5,'Pop Cibles'!AA5,0)+IF('Pop Cibles'!U5&lt;'Pop Cibles'!AB5,'Pop Cibles'!AB5,0)</f>
        <v>0</v>
      </c>
      <c r="U5" s="22">
        <f>IF('Pop Cibles'!AH5&lt;'Pop Cibles'!AO5,'Pop Cibles'!AO5,0)+IF('Pop Cibles'!AI5&lt;'Pop Cibles'!AP5,'Pop Cibles'!AP5,0)+IF('Pop Cibles'!AJ5&lt;'Pop Cibles'!AQ5,'Pop Cibles'!AQ5,0)</f>
        <v>0</v>
      </c>
      <c r="V5" s="22">
        <f>IF('Pop Cibles'!AW5&lt;'Pop Cibles'!BD5,'Pop Cibles'!BD5,0)+IF('Pop Cibles'!AX5&lt;'Pop Cibles'!BE5,'Pop Cibles'!BE5,0)+IF('Pop Cibles'!AY5&lt;'Pop Cibles'!BF5,'Pop Cibles'!BF5,0)</f>
        <v>0</v>
      </c>
      <c r="W5" s="22">
        <f>IF('Pop Cibles'!BL5&lt;'Pop Cibles'!BS5,'Pop Cibles'!BS5,0)+IF('Pop Cibles'!BM5&lt;'Pop Cibles'!BT5,'Pop Cibles'!BT5,0)+IF('Pop Cibles'!BN5&lt;'Pop Cibles'!BU5,'Pop Cibles'!BU5,0)</f>
        <v>0</v>
      </c>
      <c r="X5" s="22">
        <f>'Pop Cibles'!I5*2.5+'Pop Cibles'!J5*3</f>
        <v>0</v>
      </c>
      <c r="Y5" s="22">
        <f>'Pop Cibles'!X5*2.5+'Pop Cibles'!Y5*3</f>
        <v>0</v>
      </c>
      <c r="Z5" s="22">
        <f>'Pop Cibles'!AM5*2.5+'Pop Cibles'!AN5*3</f>
        <v>330594.25775999995</v>
      </c>
      <c r="AA5" s="22">
        <f>'Pop Cibles'!BB5*2.5+'Pop Cibles'!BC5*3</f>
        <v>0</v>
      </c>
      <c r="AB5" s="22">
        <f>'Pop Cibles'!BQ5*2.5+'Pop Cibles'!BR5*3</f>
        <v>0</v>
      </c>
      <c r="AC5" s="22">
        <f>'Pop Cibles'!N5*2</f>
        <v>0</v>
      </c>
      <c r="AD5" s="22">
        <f>'Pop Cibles'!AC5*2</f>
        <v>0</v>
      </c>
      <c r="AE5" s="22">
        <f>'Pop Cibles'!AR5*2</f>
        <v>0</v>
      </c>
      <c r="AF5" s="22">
        <f>'Pop Cibles'!BG5*2</f>
        <v>0</v>
      </c>
      <c r="AG5" s="22">
        <f>'Pop Cibles'!BV5*2</f>
        <v>0</v>
      </c>
      <c r="AH5" s="22">
        <f>'Pop Cibles'!O5*0.33</f>
        <v>0</v>
      </c>
      <c r="AI5" s="22">
        <f>'Pop Cibles'!AD5*0.33</f>
        <v>0</v>
      </c>
      <c r="AJ5" s="22">
        <f>'Pop Cibles'!AS5*0.33</f>
        <v>0</v>
      </c>
      <c r="AK5" s="22">
        <f>'Pop Cibles'!BH5*0.33</f>
        <v>0</v>
      </c>
      <c r="AL5" s="22">
        <f>'Pop Cibles'!BW5*0.33</f>
        <v>0</v>
      </c>
      <c r="AM5" s="22">
        <f>('Pop Cibles'!P5+'Pop Cibles'!Q5)*3</f>
        <v>0</v>
      </c>
      <c r="AN5" s="22">
        <f>('Pop Cibles'!AE5+'Pop Cibles'!AF5)*3</f>
        <v>0</v>
      </c>
      <c r="AO5" s="22">
        <f>('Pop Cibles'!AT5+'Pop Cibles'!AU5)*3</f>
        <v>0</v>
      </c>
      <c r="AP5" s="22">
        <f>('Pop Cibles'!BI5+'Pop Cibles'!BJ5)*3</f>
        <v>0</v>
      </c>
      <c r="AQ5" s="22">
        <f>('Pop Cibles'!BY5+'Pop Cibles'!BY5)*3</f>
        <v>0</v>
      </c>
    </row>
    <row r="6" spans="1:43" s="5" customFormat="1" ht="12" customHeight="1">
      <c r="A6" s="19">
        <v>3</v>
      </c>
      <c r="B6" s="20" t="str">
        <f>'Pop Cibles'!B6</f>
        <v>BOKE</v>
      </c>
      <c r="C6" s="21" t="str">
        <f>Population!C6</f>
        <v>Fria</v>
      </c>
      <c r="D6" s="22">
        <f>IF(SUM('Plan annuel Différentes Maladie'!K$4:K$996)&gt;0,(MAX('Pop Cibles'!E6,'Pop Cibles'!G6)+MAX('Pop Cibles'!F6,'Pop Cibles'!H6))*2.8,0)</f>
        <v>0</v>
      </c>
      <c r="E6" s="22">
        <f>IF(SUM('Plan annuel Différentes Maladie'!K$4:K$996)&gt;0,(MAX('Pop Cibles'!T6,'Pop Cibles'!V6)+MAX('Pop Cibles'!U6,'Pop Cibles'!W6))*2.8,0)</f>
        <v>0</v>
      </c>
      <c r="F6" s="22">
        <f>IF(SUM('Plan annuel Différentes Maladie'!K$4:K$996)&gt;0,(MAX('Pop Cibles'!AI6,'Pop Cibles'!AK6)+MAX('Pop Cibles'!AJ6,'Pop Cibles'!AL6))*2.8,0)</f>
        <v>0</v>
      </c>
      <c r="G6" s="22">
        <f>IF(SUM('Plan annuel Différentes Maladie'!K$4:K$996)&gt;0,(MAX('Pop Cibles'!AX6,'Pop Cibles'!AZ6)+MAX('Pop Cibles'!AY6,'Pop Cibles'!BA6))*2.8,0)</f>
        <v>0</v>
      </c>
      <c r="H6" s="22">
        <f>IF(SUM('Plan annuel Différentes Maladie'!K$4:K$996)&gt;0,(MAX('Pop Cibles'!BM6,'Pop Cibles'!BO6)+MAX('Pop Cibles'!BN6,'Pop Cibles'!BP6))*2.8,0)</f>
        <v>0</v>
      </c>
      <c r="I6" s="22">
        <f>IF(SUM('Plan annuel Différentes Maladie'!K$4:K$996)=0,('Pop Cibles'!D6+'Pop Cibles'!E6+'Pop Cibles'!F6)*2.5,0)</f>
        <v>0</v>
      </c>
      <c r="J6" s="22">
        <f>IF(SUM('Plan annuel Différentes Maladie'!K$4:K$996)=0,('Pop Cibles'!S6+'Pop Cibles'!T6+'Pop Cibles'!U6)*2.5,0)</f>
        <v>0</v>
      </c>
      <c r="K6" s="22">
        <f>IF(SUM('Plan annuel Différentes Maladie'!K$4:K$996)=0,('Pop Cibles'!AH6+'Pop Cibles'!AI6+'Pop Cibles'!AJ6)*2.5,0)</f>
        <v>0</v>
      </c>
      <c r="L6" s="22">
        <f>IF(SUM('Plan annuel Différentes Maladie'!K$4:K$996)=0,('Pop Cibles'!AW6+'Pop Cibles'!AX6+'Pop Cibles'!AY6)*2.5,0)</f>
        <v>0</v>
      </c>
      <c r="M6" s="22">
        <f>IF(SUM('Plan annuel Différentes Maladie'!K$4:K$996)=0,('Pop Cibles'!BL6+'Pop Cibles'!BM6+'Pop Cibles'!BN6)*2.5,0)</f>
        <v>0</v>
      </c>
      <c r="N6" s="22">
        <f>'Pop Cibles'!D6+'Pop Cibles'!E6+'Pop Cibles'!F6</f>
        <v>0</v>
      </c>
      <c r="O6" s="22">
        <f>'Pop Cibles'!S6+'Pop Cibles'!T6+'Pop Cibles'!U6</f>
        <v>0</v>
      </c>
      <c r="P6" s="22">
        <f>'Pop Cibles'!AH6+'Pop Cibles'!AI6+'Pop Cibles'!AJ6</f>
        <v>0</v>
      </c>
      <c r="Q6" s="22">
        <f>'Pop Cibles'!AW6+'Pop Cibles'!AX6+'Pop Cibles'!AY6</f>
        <v>0</v>
      </c>
      <c r="R6" s="22">
        <f>'Pop Cibles'!BL6+'Pop Cibles'!BM6+'Pop Cibles'!BN6</f>
        <v>0</v>
      </c>
      <c r="S6" s="22">
        <f>IF('Pop Cibles'!D6&lt;'Pop Cibles'!K6,'Pop Cibles'!K6,0)+IF('Pop Cibles'!E6&lt;'Pop Cibles'!L6,'Pop Cibles'!L6,0)+IF('Pop Cibles'!F6&lt;'Pop Cibles'!M6,'Pop Cibles'!M6,0)</f>
        <v>0</v>
      </c>
      <c r="T6" s="22">
        <f>IF('Pop Cibles'!S6&lt;'Pop Cibles'!Z6,'Pop Cibles'!Z6,0)+IF('Pop Cibles'!T6&lt;'Pop Cibles'!AA6,'Pop Cibles'!AA6,0)+IF('Pop Cibles'!U6&lt;'Pop Cibles'!AB6,'Pop Cibles'!AB6,0)</f>
        <v>0</v>
      </c>
      <c r="U6" s="22">
        <f>IF('Pop Cibles'!AH6&lt;'Pop Cibles'!AO6,'Pop Cibles'!AO6,0)+IF('Pop Cibles'!AI6&lt;'Pop Cibles'!AP6,'Pop Cibles'!AP6,0)+IF('Pop Cibles'!AJ6&lt;'Pop Cibles'!AQ6,'Pop Cibles'!AQ6,0)</f>
        <v>0</v>
      </c>
      <c r="V6" s="22">
        <f>IF('Pop Cibles'!AW6&lt;'Pop Cibles'!BD6,'Pop Cibles'!BD6,0)+IF('Pop Cibles'!AX6&lt;'Pop Cibles'!BE6,'Pop Cibles'!BE6,0)+IF('Pop Cibles'!AY6&lt;'Pop Cibles'!BF6,'Pop Cibles'!BF6,0)</f>
        <v>0</v>
      </c>
      <c r="W6" s="22">
        <f>IF('Pop Cibles'!BL6&lt;'Pop Cibles'!BS6,'Pop Cibles'!BS6,0)+IF('Pop Cibles'!BM6&lt;'Pop Cibles'!BT6,'Pop Cibles'!BT6,0)+IF('Pop Cibles'!BN6&lt;'Pop Cibles'!BU6,'Pop Cibles'!BU6,0)</f>
        <v>0</v>
      </c>
      <c r="X6" s="22">
        <f>'Pop Cibles'!I6*2.5+'Pop Cibles'!J6*3</f>
        <v>61461.25</v>
      </c>
      <c r="Y6" s="22">
        <f>'Pop Cibles'!X6*2.5+'Pop Cibles'!Y6*3</f>
        <v>0</v>
      </c>
      <c r="Z6" s="22">
        <f>'Pop Cibles'!AM6*2.5+'Pop Cibles'!AN6*3</f>
        <v>0</v>
      </c>
      <c r="AA6" s="22">
        <f>'Pop Cibles'!BB6*2.5+'Pop Cibles'!BC6*3</f>
        <v>66575.236745533737</v>
      </c>
      <c r="AB6" s="22">
        <f>'Pop Cibles'!BQ6*2.5+'Pop Cibles'!BR6*3</f>
        <v>0</v>
      </c>
      <c r="AC6" s="22">
        <f>'Pop Cibles'!N6*2</f>
        <v>0</v>
      </c>
      <c r="AD6" s="22">
        <f>'Pop Cibles'!AC6*2</f>
        <v>0</v>
      </c>
      <c r="AE6" s="22">
        <f>'Pop Cibles'!AR6*2</f>
        <v>0</v>
      </c>
      <c r="AF6" s="22">
        <f>'Pop Cibles'!BG6*2</f>
        <v>0</v>
      </c>
      <c r="AG6" s="22">
        <f>'Pop Cibles'!BV6*2</f>
        <v>0</v>
      </c>
      <c r="AH6" s="22">
        <f>'Pop Cibles'!O6*0.33</f>
        <v>0</v>
      </c>
      <c r="AI6" s="22">
        <f>'Pop Cibles'!AD6*0.33</f>
        <v>0</v>
      </c>
      <c r="AJ6" s="22">
        <f>'Pop Cibles'!AS6*0.33</f>
        <v>0</v>
      </c>
      <c r="AK6" s="22">
        <f>'Pop Cibles'!BH6*0.33</f>
        <v>0</v>
      </c>
      <c r="AL6" s="22">
        <f>'Pop Cibles'!BW6*0.33</f>
        <v>0</v>
      </c>
      <c r="AM6" s="22">
        <f>('Pop Cibles'!P6+'Pop Cibles'!Q6)*3</f>
        <v>0</v>
      </c>
      <c r="AN6" s="22">
        <f>('Pop Cibles'!AE6+'Pop Cibles'!AF6)*3</f>
        <v>0</v>
      </c>
      <c r="AO6" s="22">
        <f>('Pop Cibles'!AT6+'Pop Cibles'!AU6)*3</f>
        <v>0</v>
      </c>
      <c r="AP6" s="22">
        <f>('Pop Cibles'!BI6+'Pop Cibles'!BJ6)*3</f>
        <v>0</v>
      </c>
      <c r="AQ6" s="22">
        <f>('Pop Cibles'!BY6+'Pop Cibles'!BY6)*3</f>
        <v>0</v>
      </c>
    </row>
    <row r="7" spans="1:43" s="5" customFormat="1" ht="12" customHeight="1">
      <c r="A7" s="19">
        <v>4</v>
      </c>
      <c r="B7" s="20" t="str">
        <f>'Pop Cibles'!B7</f>
        <v>BOKE</v>
      </c>
      <c r="C7" s="21" t="str">
        <f>Population!C7</f>
        <v>Gaoual</v>
      </c>
      <c r="D7" s="22">
        <f>IF(SUM('Plan annuel Différentes Maladie'!K$4:K$996)&gt;0,(MAX('Pop Cibles'!E7,'Pop Cibles'!G7)+MAX('Pop Cibles'!F7,'Pop Cibles'!H7))*2.8,0)</f>
        <v>513172.8</v>
      </c>
      <c r="E7" s="22">
        <f>IF(SUM('Plan annuel Différentes Maladie'!K$4:K$996)&gt;0,(MAX('Pop Cibles'!T7,'Pop Cibles'!V7)+MAX('Pop Cibles'!U7,'Pop Cibles'!W7))*2.8,0)</f>
        <v>527028.46559999988</v>
      </c>
      <c r="F7" s="22">
        <f>IF(SUM('Plan annuel Différentes Maladie'!K$4:K$996)&gt;0,(MAX('Pop Cibles'!AI7,'Pop Cibles'!AK7)+MAX('Pop Cibles'!AJ7,'Pop Cibles'!AL7))*2.8,0)</f>
        <v>541258.23417119985</v>
      </c>
      <c r="G7" s="22">
        <f>IF(SUM('Plan annuel Différentes Maladie'!K$4:K$996)&gt;0,(MAX('Pop Cibles'!AX7,'Pop Cibles'!AZ7)+MAX('Pop Cibles'!AY7,'Pop Cibles'!BA7))*2.8,0)</f>
        <v>555872.20649382216</v>
      </c>
      <c r="H7" s="22">
        <f>IF(SUM('Plan annuel Différentes Maladie'!K$4:K$996)&gt;0,(MAX('Pop Cibles'!BM7,'Pop Cibles'!BO7)+MAX('Pop Cibles'!BN7,'Pop Cibles'!BP7))*2.8,0)</f>
        <v>570880.75606915529</v>
      </c>
      <c r="I7" s="22">
        <f>IF(SUM('Plan annuel Différentes Maladie'!K$4:K$996)=0,('Pop Cibles'!D7+'Pop Cibles'!E7+'Pop Cibles'!F7)*2.5,0)</f>
        <v>0</v>
      </c>
      <c r="J7" s="22">
        <f>IF(SUM('Plan annuel Différentes Maladie'!K$4:K$996)=0,('Pop Cibles'!S7+'Pop Cibles'!T7+'Pop Cibles'!U7)*2.5,0)</f>
        <v>0</v>
      </c>
      <c r="K7" s="22">
        <f>IF(SUM('Plan annuel Différentes Maladie'!K$4:K$996)=0,('Pop Cibles'!AH7+'Pop Cibles'!AI7+'Pop Cibles'!AJ7)*2.5,0)</f>
        <v>0</v>
      </c>
      <c r="L7" s="22">
        <f>IF(SUM('Plan annuel Différentes Maladie'!K$4:K$996)=0,('Pop Cibles'!AW7+'Pop Cibles'!AX7+'Pop Cibles'!AY7)*2.5,0)</f>
        <v>0</v>
      </c>
      <c r="M7" s="22">
        <f>IF(SUM('Plan annuel Différentes Maladie'!K$4:K$996)=0,('Pop Cibles'!BL7+'Pop Cibles'!BM7+'Pop Cibles'!BN7)*2.5,0)</f>
        <v>0</v>
      </c>
      <c r="N7" s="22">
        <f>'Pop Cibles'!D7+'Pop Cibles'!E7+'Pop Cibles'!F7</f>
        <v>183276</v>
      </c>
      <c r="O7" s="22">
        <f>'Pop Cibles'!S7+'Pop Cibles'!T7+'Pop Cibles'!U7</f>
        <v>188224.45199999996</v>
      </c>
      <c r="P7" s="22">
        <f>'Pop Cibles'!AH7+'Pop Cibles'!AI7+'Pop Cibles'!AJ7</f>
        <v>193306.51220399994</v>
      </c>
      <c r="Q7" s="22">
        <f>'Pop Cibles'!AW7+'Pop Cibles'!AX7+'Pop Cibles'!AY7</f>
        <v>198525.78803350794</v>
      </c>
      <c r="R7" s="22">
        <f>'Pop Cibles'!BL7+'Pop Cibles'!BM7+'Pop Cibles'!BN7</f>
        <v>203885.9843104126</v>
      </c>
      <c r="S7" s="22">
        <f>IF('Pop Cibles'!D7&lt;'Pop Cibles'!K7,'Pop Cibles'!K7,0)+IF('Pop Cibles'!E7&lt;'Pop Cibles'!L7,'Pop Cibles'!L7,0)+IF('Pop Cibles'!F7&lt;'Pop Cibles'!M7,'Pop Cibles'!M7,0)</f>
        <v>0</v>
      </c>
      <c r="T7" s="22">
        <f>IF('Pop Cibles'!S7&lt;'Pop Cibles'!Z7,'Pop Cibles'!Z7,0)+IF('Pop Cibles'!T7&lt;'Pop Cibles'!AA7,'Pop Cibles'!AA7,0)+IF('Pop Cibles'!U7&lt;'Pop Cibles'!AB7,'Pop Cibles'!AB7,0)</f>
        <v>0</v>
      </c>
      <c r="U7" s="22">
        <f>IF('Pop Cibles'!AH7&lt;'Pop Cibles'!AO7,'Pop Cibles'!AO7,0)+IF('Pop Cibles'!AI7&lt;'Pop Cibles'!AP7,'Pop Cibles'!AP7,0)+IF('Pop Cibles'!AJ7&lt;'Pop Cibles'!AQ7,'Pop Cibles'!AQ7,0)</f>
        <v>0</v>
      </c>
      <c r="V7" s="22">
        <f>IF('Pop Cibles'!AW7&lt;'Pop Cibles'!BD7,'Pop Cibles'!BD7,0)+IF('Pop Cibles'!AX7&lt;'Pop Cibles'!BE7,'Pop Cibles'!BE7,0)+IF('Pop Cibles'!AY7&lt;'Pop Cibles'!BF7,'Pop Cibles'!BF7,0)</f>
        <v>0</v>
      </c>
      <c r="W7" s="22">
        <f>IF('Pop Cibles'!BL7&lt;'Pop Cibles'!BS7,'Pop Cibles'!BS7,0)+IF('Pop Cibles'!BM7&lt;'Pop Cibles'!BT7,'Pop Cibles'!BT7,0)+IF('Pop Cibles'!BN7&lt;'Pop Cibles'!BU7,'Pop Cibles'!BU7,0)</f>
        <v>0</v>
      </c>
      <c r="X7" s="22">
        <f>'Pop Cibles'!I7*2.5+'Pop Cibles'!J7*3</f>
        <v>143184.375</v>
      </c>
      <c r="Y7" s="22">
        <f>'Pop Cibles'!X7*2.5+'Pop Cibles'!Y7*3</f>
        <v>147050.35312499999</v>
      </c>
      <c r="Z7" s="22">
        <f>'Pop Cibles'!AM7*2.5+'Pop Cibles'!AN7*3</f>
        <v>151020.71265937496</v>
      </c>
      <c r="AA7" s="22">
        <f>'Pop Cibles'!BB7*2.5+'Pop Cibles'!BC7*3</f>
        <v>155098.27190117809</v>
      </c>
      <c r="AB7" s="22">
        <f>'Pop Cibles'!BQ7*2.5+'Pop Cibles'!BR7*3</f>
        <v>159285.92524250987</v>
      </c>
      <c r="AC7" s="22">
        <f>'Pop Cibles'!N7*2</f>
        <v>0</v>
      </c>
      <c r="AD7" s="22">
        <f>'Pop Cibles'!AC7*2</f>
        <v>0</v>
      </c>
      <c r="AE7" s="22">
        <f>'Pop Cibles'!AR7*2</f>
        <v>0</v>
      </c>
      <c r="AF7" s="22">
        <f>'Pop Cibles'!BG7*2</f>
        <v>0</v>
      </c>
      <c r="AG7" s="22">
        <f>'Pop Cibles'!BV7*2</f>
        <v>0</v>
      </c>
      <c r="AH7" s="22">
        <f>'Pop Cibles'!O7*0.33</f>
        <v>0</v>
      </c>
      <c r="AI7" s="22">
        <f>'Pop Cibles'!AD7*0.33</f>
        <v>0</v>
      </c>
      <c r="AJ7" s="22">
        <f>'Pop Cibles'!AS7*0.33</f>
        <v>0</v>
      </c>
      <c r="AK7" s="22">
        <f>'Pop Cibles'!BH7*0.33</f>
        <v>0</v>
      </c>
      <c r="AL7" s="22">
        <f>'Pop Cibles'!BW7*0.33</f>
        <v>0</v>
      </c>
      <c r="AM7" s="22">
        <f>('Pop Cibles'!P7+'Pop Cibles'!Q7)*3</f>
        <v>0</v>
      </c>
      <c r="AN7" s="22">
        <f>('Pop Cibles'!AE7+'Pop Cibles'!AF7)*3</f>
        <v>0</v>
      </c>
      <c r="AO7" s="22">
        <f>('Pop Cibles'!AT7+'Pop Cibles'!AU7)*3</f>
        <v>0</v>
      </c>
      <c r="AP7" s="22">
        <f>('Pop Cibles'!BI7+'Pop Cibles'!BJ7)*3</f>
        <v>0</v>
      </c>
      <c r="AQ7" s="22">
        <f>('Pop Cibles'!BY7+'Pop Cibles'!BY7)*3</f>
        <v>0</v>
      </c>
    </row>
    <row r="8" spans="1:43" s="5" customFormat="1" ht="12" customHeight="1">
      <c r="A8" s="19">
        <v>5</v>
      </c>
      <c r="B8" s="20" t="str">
        <f>'Pop Cibles'!B8</f>
        <v>BOKE</v>
      </c>
      <c r="C8" s="21" t="str">
        <f>Population!C8</f>
        <v>Koundara</v>
      </c>
      <c r="D8" s="22">
        <f>IF(SUM('Plan annuel Différentes Maladie'!K$4:K$996)&gt;0,(MAX('Pop Cibles'!E8,'Pop Cibles'!G8)+MAX('Pop Cibles'!F8,'Pop Cibles'!H8))*2.8,0)</f>
        <v>339751.99999999994</v>
      </c>
      <c r="E8" s="22">
        <f>IF(SUM('Plan annuel Différentes Maladie'!K$4:K$996)&gt;0,(MAX('Pop Cibles'!T8,'Pop Cibles'!V8)+MAX('Pop Cibles'!U8,'Pop Cibles'!W8))*2.8,0)</f>
        <v>348925.30399999989</v>
      </c>
      <c r="F8" s="22">
        <f>IF(SUM('Plan annuel Différentes Maladie'!K$4:K$996)&gt;0,(MAX('Pop Cibles'!AI8,'Pop Cibles'!AK8)+MAX('Pop Cibles'!AJ8,'Pop Cibles'!AL8))*2.8,0)</f>
        <v>358346.28720799985</v>
      </c>
      <c r="G8" s="22">
        <f>IF(SUM('Plan annuel Différentes Maladie'!K$4:K$996)&gt;0,(MAX('Pop Cibles'!AX8,'Pop Cibles'!AZ8)+MAX('Pop Cibles'!AY8,'Pop Cibles'!BA8))*2.8,0)</f>
        <v>368021.63696261588</v>
      </c>
      <c r="H8" s="22">
        <f>IF(SUM('Plan annuel Différentes Maladie'!K$4:K$996)&gt;0,(MAX('Pop Cibles'!BM8,'Pop Cibles'!BO8)+MAX('Pop Cibles'!BN8,'Pop Cibles'!BP8))*2.8,0)</f>
        <v>377958.22116060648</v>
      </c>
      <c r="I8" s="22">
        <f>IF(SUM('Plan annuel Différentes Maladie'!K$4:K$996)=0,('Pop Cibles'!D8+'Pop Cibles'!E8+'Pop Cibles'!F8)*2.5,0)</f>
        <v>0</v>
      </c>
      <c r="J8" s="22">
        <f>IF(SUM('Plan annuel Différentes Maladie'!K$4:K$996)=0,('Pop Cibles'!S8+'Pop Cibles'!T8+'Pop Cibles'!U8)*2.5,0)</f>
        <v>0</v>
      </c>
      <c r="K8" s="22">
        <f>IF(SUM('Plan annuel Différentes Maladie'!K$4:K$996)=0,('Pop Cibles'!AH8+'Pop Cibles'!AI8+'Pop Cibles'!AJ8)*2.5,0)</f>
        <v>0</v>
      </c>
      <c r="L8" s="22">
        <f>IF(SUM('Plan annuel Différentes Maladie'!K$4:K$996)=0,('Pop Cibles'!AW8+'Pop Cibles'!AX8+'Pop Cibles'!AY8)*2.5,0)</f>
        <v>0</v>
      </c>
      <c r="M8" s="22">
        <f>IF(SUM('Plan annuel Différentes Maladie'!K$4:K$996)=0,('Pop Cibles'!BL8+'Pop Cibles'!BM8+'Pop Cibles'!BN8)*2.5,0)</f>
        <v>0</v>
      </c>
      <c r="N8" s="22">
        <f>'Pop Cibles'!D8+'Pop Cibles'!E8+'Pop Cibles'!F8</f>
        <v>121339.99999999999</v>
      </c>
      <c r="O8" s="22">
        <f>'Pop Cibles'!S8+'Pop Cibles'!T8+'Pop Cibles'!U8</f>
        <v>124616.17999999996</v>
      </c>
      <c r="P8" s="22">
        <f>'Pop Cibles'!AH8+'Pop Cibles'!AI8+'Pop Cibles'!AJ8</f>
        <v>127980.81685999996</v>
      </c>
      <c r="Q8" s="22">
        <f>'Pop Cibles'!AW8+'Pop Cibles'!AX8+'Pop Cibles'!AY8</f>
        <v>131436.29891521996</v>
      </c>
      <c r="R8" s="22">
        <f>'Pop Cibles'!BL8+'Pop Cibles'!BM8+'Pop Cibles'!BN8</f>
        <v>134985.07898593089</v>
      </c>
      <c r="S8" s="22">
        <f>IF('Pop Cibles'!D8&lt;'Pop Cibles'!K8,'Pop Cibles'!K8,0)+IF('Pop Cibles'!E8&lt;'Pop Cibles'!L8,'Pop Cibles'!L8,0)+IF('Pop Cibles'!F8&lt;'Pop Cibles'!M8,'Pop Cibles'!M8,0)</f>
        <v>0</v>
      </c>
      <c r="T8" s="22">
        <f>IF('Pop Cibles'!S8&lt;'Pop Cibles'!Z8,'Pop Cibles'!Z8,0)+IF('Pop Cibles'!T8&lt;'Pop Cibles'!AA8,'Pop Cibles'!AA8,0)+IF('Pop Cibles'!U8&lt;'Pop Cibles'!AB8,'Pop Cibles'!AB8,0)</f>
        <v>0</v>
      </c>
      <c r="U8" s="22">
        <f>IF('Pop Cibles'!AH8&lt;'Pop Cibles'!AO8,'Pop Cibles'!AO8,0)+IF('Pop Cibles'!AI8&lt;'Pop Cibles'!AP8,'Pop Cibles'!AP8,0)+IF('Pop Cibles'!AJ8&lt;'Pop Cibles'!AQ8,'Pop Cibles'!AQ8,0)</f>
        <v>0</v>
      </c>
      <c r="V8" s="22">
        <f>IF('Pop Cibles'!AW8&lt;'Pop Cibles'!BD8,'Pop Cibles'!BD8,0)+IF('Pop Cibles'!AX8&lt;'Pop Cibles'!BE8,'Pop Cibles'!BE8,0)+IF('Pop Cibles'!AY8&lt;'Pop Cibles'!BF8,'Pop Cibles'!BF8,0)</f>
        <v>0</v>
      </c>
      <c r="W8" s="22">
        <f>IF('Pop Cibles'!BL8&lt;'Pop Cibles'!BS8,'Pop Cibles'!BS8,0)+IF('Pop Cibles'!BM8&lt;'Pop Cibles'!BT8,'Pop Cibles'!BT8,0)+IF('Pop Cibles'!BN8&lt;'Pop Cibles'!BU8,'Pop Cibles'!BU8,0)</f>
        <v>0</v>
      </c>
      <c r="X8" s="22">
        <f>'Pop Cibles'!I8*2.5+'Pop Cibles'!J8*3</f>
        <v>94796.875</v>
      </c>
      <c r="Y8" s="22">
        <f>'Pop Cibles'!X8*2.5+'Pop Cibles'!Y8*3</f>
        <v>0</v>
      </c>
      <c r="Z8" s="22">
        <f>'Pop Cibles'!AM8*2.5+'Pop Cibles'!AN8*3</f>
        <v>99985.013171874976</v>
      </c>
      <c r="AA8" s="22">
        <f>'Pop Cibles'!BB8*2.5+'Pop Cibles'!BC8*3</f>
        <v>0</v>
      </c>
      <c r="AB8" s="22">
        <f>'Pop Cibles'!BQ8*2.5+'Pop Cibles'!BR8*3</f>
        <v>105457.0929577585</v>
      </c>
      <c r="AC8" s="22">
        <f>'Pop Cibles'!N8*2</f>
        <v>0</v>
      </c>
      <c r="AD8" s="22">
        <f>'Pop Cibles'!AC8*2</f>
        <v>0</v>
      </c>
      <c r="AE8" s="22">
        <f>'Pop Cibles'!AR8*2</f>
        <v>0</v>
      </c>
      <c r="AF8" s="22">
        <f>'Pop Cibles'!BG8*2</f>
        <v>0</v>
      </c>
      <c r="AG8" s="22">
        <f>'Pop Cibles'!BV8*2</f>
        <v>0</v>
      </c>
      <c r="AH8" s="22">
        <f>'Pop Cibles'!O8*0.33</f>
        <v>0</v>
      </c>
      <c r="AI8" s="22">
        <f>'Pop Cibles'!AD8*0.33</f>
        <v>0</v>
      </c>
      <c r="AJ8" s="22">
        <f>'Pop Cibles'!AS8*0.33</f>
        <v>0</v>
      </c>
      <c r="AK8" s="22">
        <f>'Pop Cibles'!BH8*0.33</f>
        <v>0</v>
      </c>
      <c r="AL8" s="22">
        <f>'Pop Cibles'!BW8*0.33</f>
        <v>0</v>
      </c>
      <c r="AM8" s="22">
        <f>('Pop Cibles'!P8+'Pop Cibles'!Q8)*3</f>
        <v>0</v>
      </c>
      <c r="AN8" s="22">
        <f>('Pop Cibles'!AE8+'Pop Cibles'!AF8)*3</f>
        <v>0</v>
      </c>
      <c r="AO8" s="22">
        <f>('Pop Cibles'!AT8+'Pop Cibles'!AU8)*3</f>
        <v>0</v>
      </c>
      <c r="AP8" s="22">
        <f>('Pop Cibles'!BI8+'Pop Cibles'!BJ8)*3</f>
        <v>0</v>
      </c>
      <c r="AQ8" s="22">
        <f>('Pop Cibles'!BY8+'Pop Cibles'!BY8)*3</f>
        <v>0</v>
      </c>
    </row>
    <row r="9" spans="1:43" s="5" customFormat="1" ht="12" customHeight="1">
      <c r="A9" s="19">
        <v>6</v>
      </c>
      <c r="B9" s="20" t="str">
        <f>'Pop Cibles'!B9</f>
        <v>CONAKRY</v>
      </c>
      <c r="C9" s="21" t="str">
        <f>Population!C9</f>
        <v>Dixinn</v>
      </c>
      <c r="D9" s="22">
        <f>IF(SUM('Plan annuel Différentes Maladie'!K$4:K$996)&gt;0,(MAX('Pop Cibles'!E9,'Pop Cibles'!G9)+MAX('Pop Cibles'!F9,'Pop Cibles'!H9))*2.8,0)</f>
        <v>0</v>
      </c>
      <c r="E9" s="22">
        <f>IF(SUM('Plan annuel Différentes Maladie'!K$4:K$996)&gt;0,(MAX('Pop Cibles'!T9,'Pop Cibles'!V9)+MAX('Pop Cibles'!U9,'Pop Cibles'!W9))*2.8,0)</f>
        <v>0</v>
      </c>
      <c r="F9" s="22">
        <f>IF(SUM('Plan annuel Différentes Maladie'!K$4:K$996)&gt;0,(MAX('Pop Cibles'!AI9,'Pop Cibles'!AK9)+MAX('Pop Cibles'!AJ9,'Pop Cibles'!AL9))*2.8,0)</f>
        <v>0</v>
      </c>
      <c r="G9" s="22">
        <f>IF(SUM('Plan annuel Différentes Maladie'!K$4:K$996)&gt;0,(MAX('Pop Cibles'!AX9,'Pop Cibles'!AZ9)+MAX('Pop Cibles'!AY9,'Pop Cibles'!BA9))*2.8,0)</f>
        <v>0</v>
      </c>
      <c r="H9" s="22">
        <f>IF(SUM('Plan annuel Différentes Maladie'!K$4:K$996)&gt;0,(MAX('Pop Cibles'!BM9,'Pop Cibles'!BO9)+MAX('Pop Cibles'!BN9,'Pop Cibles'!BP9))*2.8,0)</f>
        <v>0</v>
      </c>
      <c r="I9" s="22">
        <f>IF(SUM('Plan annuel Différentes Maladie'!K$4:K$996)=0,('Pop Cibles'!D9+'Pop Cibles'!E9+'Pop Cibles'!F9)*2.5,0)</f>
        <v>0</v>
      </c>
      <c r="J9" s="22">
        <f>IF(SUM('Plan annuel Différentes Maladie'!K$4:K$996)=0,('Pop Cibles'!S9+'Pop Cibles'!T9+'Pop Cibles'!U9)*2.5,0)</f>
        <v>0</v>
      </c>
      <c r="K9" s="22">
        <f>IF(SUM('Plan annuel Différentes Maladie'!K$4:K$996)=0,('Pop Cibles'!AH9+'Pop Cibles'!AI9+'Pop Cibles'!AJ9)*2.5,0)</f>
        <v>0</v>
      </c>
      <c r="L9" s="22">
        <f>IF(SUM('Plan annuel Différentes Maladie'!K$4:K$996)=0,('Pop Cibles'!AW9+'Pop Cibles'!AX9+'Pop Cibles'!AY9)*2.5,0)</f>
        <v>0</v>
      </c>
      <c r="M9" s="22">
        <f>IF(SUM('Plan annuel Différentes Maladie'!K$4:K$996)=0,('Pop Cibles'!BL9+'Pop Cibles'!BM9+'Pop Cibles'!BN9)*2.5,0)</f>
        <v>0</v>
      </c>
      <c r="N9" s="22">
        <f>'Pop Cibles'!D9+'Pop Cibles'!E9+'Pop Cibles'!F9</f>
        <v>0</v>
      </c>
      <c r="O9" s="22">
        <f>'Pop Cibles'!S9+'Pop Cibles'!T9+'Pop Cibles'!U9</f>
        <v>0</v>
      </c>
      <c r="P9" s="22">
        <f>'Pop Cibles'!AH9+'Pop Cibles'!AI9+'Pop Cibles'!AJ9</f>
        <v>0</v>
      </c>
      <c r="Q9" s="22">
        <f>'Pop Cibles'!AW9+'Pop Cibles'!AX9+'Pop Cibles'!AY9</f>
        <v>0</v>
      </c>
      <c r="R9" s="22">
        <f>'Pop Cibles'!BL9+'Pop Cibles'!BM9+'Pop Cibles'!BN9</f>
        <v>0</v>
      </c>
      <c r="S9" s="22">
        <f>IF('Pop Cibles'!D9&lt;'Pop Cibles'!K9,'Pop Cibles'!K9,0)+IF('Pop Cibles'!E9&lt;'Pop Cibles'!L9,'Pop Cibles'!L9,0)+IF('Pop Cibles'!F9&lt;'Pop Cibles'!M9,'Pop Cibles'!M9,0)</f>
        <v>0</v>
      </c>
      <c r="T9" s="22">
        <f>IF('Pop Cibles'!S9&lt;'Pop Cibles'!Z9,'Pop Cibles'!Z9,0)+IF('Pop Cibles'!T9&lt;'Pop Cibles'!AA9,'Pop Cibles'!AA9,0)+IF('Pop Cibles'!U9&lt;'Pop Cibles'!AB9,'Pop Cibles'!AB9,0)</f>
        <v>0</v>
      </c>
      <c r="U9" s="22">
        <f>IF('Pop Cibles'!AH9&lt;'Pop Cibles'!AO9,'Pop Cibles'!AO9,0)+IF('Pop Cibles'!AI9&lt;'Pop Cibles'!AP9,'Pop Cibles'!AP9,0)+IF('Pop Cibles'!AJ9&lt;'Pop Cibles'!AQ9,'Pop Cibles'!AQ9,0)</f>
        <v>0</v>
      </c>
      <c r="V9" s="22">
        <f>IF('Pop Cibles'!AW9&lt;'Pop Cibles'!BD9,'Pop Cibles'!BD9,0)+IF('Pop Cibles'!AX9&lt;'Pop Cibles'!BE9,'Pop Cibles'!BE9,0)+IF('Pop Cibles'!AY9&lt;'Pop Cibles'!BF9,'Pop Cibles'!BF9,0)</f>
        <v>0</v>
      </c>
      <c r="W9" s="22">
        <f>IF('Pop Cibles'!BL9&lt;'Pop Cibles'!BS9,'Pop Cibles'!BS9,0)+IF('Pop Cibles'!BM9&lt;'Pop Cibles'!BT9,'Pop Cibles'!BT9,0)+IF('Pop Cibles'!BN9&lt;'Pop Cibles'!BU9,'Pop Cibles'!BU9,0)</f>
        <v>0</v>
      </c>
      <c r="X9" s="22">
        <f>'Pop Cibles'!I9*2.5+'Pop Cibles'!J9*3</f>
        <v>0</v>
      </c>
      <c r="Y9" s="22">
        <f>'Pop Cibles'!X9*2.5+'Pop Cibles'!Y9*3</f>
        <v>0</v>
      </c>
      <c r="Z9" s="22">
        <f>'Pop Cibles'!AM9*2.5+'Pop Cibles'!AN9*3</f>
        <v>0</v>
      </c>
      <c r="AA9" s="22">
        <f>'Pop Cibles'!BB9*2.5+'Pop Cibles'!BC9*3</f>
        <v>0</v>
      </c>
      <c r="AB9" s="22">
        <f>'Pop Cibles'!BQ9*2.5+'Pop Cibles'!BR9*3</f>
        <v>0</v>
      </c>
      <c r="AC9" s="22">
        <f>'Pop Cibles'!N9*2</f>
        <v>0</v>
      </c>
      <c r="AD9" s="22">
        <f>'Pop Cibles'!AC9*2</f>
        <v>0</v>
      </c>
      <c r="AE9" s="22">
        <f>'Pop Cibles'!AR9*2</f>
        <v>0</v>
      </c>
      <c r="AF9" s="22">
        <f>'Pop Cibles'!BG9*2</f>
        <v>0</v>
      </c>
      <c r="AG9" s="22">
        <f>'Pop Cibles'!BV9*2</f>
        <v>0</v>
      </c>
      <c r="AH9" s="22">
        <f>'Pop Cibles'!O9*0.33</f>
        <v>0</v>
      </c>
      <c r="AI9" s="22">
        <f>'Pop Cibles'!AD9*0.33</f>
        <v>0</v>
      </c>
      <c r="AJ9" s="22">
        <f>'Pop Cibles'!AS9*0.33</f>
        <v>0</v>
      </c>
      <c r="AK9" s="22">
        <f>'Pop Cibles'!BH9*0.33</f>
        <v>0</v>
      </c>
      <c r="AL9" s="22">
        <f>'Pop Cibles'!BW9*0.33</f>
        <v>0</v>
      </c>
      <c r="AM9" s="22">
        <f>('Pop Cibles'!P9+'Pop Cibles'!Q9)*3</f>
        <v>0</v>
      </c>
      <c r="AN9" s="22">
        <f>('Pop Cibles'!AE9+'Pop Cibles'!AF9)*3</f>
        <v>0</v>
      </c>
      <c r="AO9" s="22">
        <f>('Pop Cibles'!AT9+'Pop Cibles'!AU9)*3</f>
        <v>0</v>
      </c>
      <c r="AP9" s="22">
        <f>('Pop Cibles'!BI9+'Pop Cibles'!BJ9)*3</f>
        <v>0</v>
      </c>
      <c r="AQ9" s="22">
        <f>('Pop Cibles'!BY9+'Pop Cibles'!BY9)*3</f>
        <v>0</v>
      </c>
    </row>
    <row r="10" spans="1:43" s="5" customFormat="1" ht="12" customHeight="1">
      <c r="A10" s="19">
        <v>7</v>
      </c>
      <c r="B10" s="20" t="str">
        <f>'Pop Cibles'!B10</f>
        <v>CONAKRY</v>
      </c>
      <c r="C10" s="21" t="str">
        <f>Population!C10</f>
        <v>Kaloum</v>
      </c>
      <c r="D10" s="22">
        <f>IF(SUM('Plan annuel Différentes Maladie'!K$4:K$996)&gt;0,(MAX('Pop Cibles'!E10,'Pop Cibles'!G10)+MAX('Pop Cibles'!F10,'Pop Cibles'!H10))*2.8,0)</f>
        <v>0</v>
      </c>
      <c r="E10" s="22">
        <f>IF(SUM('Plan annuel Différentes Maladie'!K$4:K$996)&gt;0,(MAX('Pop Cibles'!T10,'Pop Cibles'!V10)+MAX('Pop Cibles'!U10,'Pop Cibles'!W10))*2.8,0)</f>
        <v>0</v>
      </c>
      <c r="F10" s="22">
        <f>IF(SUM('Plan annuel Différentes Maladie'!K$4:K$996)&gt;0,(MAX('Pop Cibles'!AI10,'Pop Cibles'!AK10)+MAX('Pop Cibles'!AJ10,'Pop Cibles'!AL10))*2.8,0)</f>
        <v>0</v>
      </c>
      <c r="G10" s="22">
        <f>IF(SUM('Plan annuel Différentes Maladie'!K$4:K$996)&gt;0,(MAX('Pop Cibles'!AX10,'Pop Cibles'!AZ10)+MAX('Pop Cibles'!AY10,'Pop Cibles'!BA10))*2.8,0)</f>
        <v>0</v>
      </c>
      <c r="H10" s="22">
        <f>IF(SUM('Plan annuel Différentes Maladie'!K$4:K$996)&gt;0,(MAX('Pop Cibles'!BM10,'Pop Cibles'!BO10)+MAX('Pop Cibles'!BN10,'Pop Cibles'!BP10))*2.8,0)</f>
        <v>0</v>
      </c>
      <c r="I10" s="22">
        <f>IF(SUM('Plan annuel Différentes Maladie'!K$4:K$996)=0,('Pop Cibles'!D10+'Pop Cibles'!E10+'Pop Cibles'!F10)*2.5,0)</f>
        <v>0</v>
      </c>
      <c r="J10" s="22">
        <f>IF(SUM('Plan annuel Différentes Maladie'!K$4:K$996)=0,('Pop Cibles'!S10+'Pop Cibles'!T10+'Pop Cibles'!U10)*2.5,0)</f>
        <v>0</v>
      </c>
      <c r="K10" s="22">
        <f>IF(SUM('Plan annuel Différentes Maladie'!K$4:K$996)=0,('Pop Cibles'!AH10+'Pop Cibles'!AI10+'Pop Cibles'!AJ10)*2.5,0)</f>
        <v>0</v>
      </c>
      <c r="L10" s="22">
        <f>IF(SUM('Plan annuel Différentes Maladie'!K$4:K$996)=0,('Pop Cibles'!AW10+'Pop Cibles'!AX10+'Pop Cibles'!AY10)*2.5,0)</f>
        <v>0</v>
      </c>
      <c r="M10" s="22">
        <f>IF(SUM('Plan annuel Différentes Maladie'!K$4:K$996)=0,('Pop Cibles'!BL10+'Pop Cibles'!BM10+'Pop Cibles'!BN10)*2.5,0)</f>
        <v>0</v>
      </c>
      <c r="N10" s="22">
        <f>'Pop Cibles'!D10+'Pop Cibles'!E10+'Pop Cibles'!F10</f>
        <v>0</v>
      </c>
      <c r="O10" s="22">
        <f>'Pop Cibles'!S10+'Pop Cibles'!T10+'Pop Cibles'!U10</f>
        <v>0</v>
      </c>
      <c r="P10" s="22">
        <f>'Pop Cibles'!AH10+'Pop Cibles'!AI10+'Pop Cibles'!AJ10</f>
        <v>0</v>
      </c>
      <c r="Q10" s="22">
        <f>'Pop Cibles'!AW10+'Pop Cibles'!AX10+'Pop Cibles'!AY10</f>
        <v>0</v>
      </c>
      <c r="R10" s="22">
        <f>'Pop Cibles'!BL10+'Pop Cibles'!BM10+'Pop Cibles'!BN10</f>
        <v>0</v>
      </c>
      <c r="S10" s="22">
        <f>IF('Pop Cibles'!D10&lt;'Pop Cibles'!K10,'Pop Cibles'!K10,0)+IF('Pop Cibles'!E10&lt;'Pop Cibles'!L10,'Pop Cibles'!L10,0)+IF('Pop Cibles'!F10&lt;'Pop Cibles'!M10,'Pop Cibles'!M10,0)</f>
        <v>0</v>
      </c>
      <c r="T10" s="22">
        <f>IF('Pop Cibles'!S10&lt;'Pop Cibles'!Z10,'Pop Cibles'!Z10,0)+IF('Pop Cibles'!T10&lt;'Pop Cibles'!AA10,'Pop Cibles'!AA10,0)+IF('Pop Cibles'!U10&lt;'Pop Cibles'!AB10,'Pop Cibles'!AB10,0)</f>
        <v>0</v>
      </c>
      <c r="U10" s="22">
        <f>IF('Pop Cibles'!AH10&lt;'Pop Cibles'!AO10,'Pop Cibles'!AO10,0)+IF('Pop Cibles'!AI10&lt;'Pop Cibles'!AP10,'Pop Cibles'!AP10,0)+IF('Pop Cibles'!AJ10&lt;'Pop Cibles'!AQ10,'Pop Cibles'!AQ10,0)</f>
        <v>0</v>
      </c>
      <c r="V10" s="22">
        <f>IF('Pop Cibles'!AW10&lt;'Pop Cibles'!BD10,'Pop Cibles'!BD10,0)+IF('Pop Cibles'!AX10&lt;'Pop Cibles'!BE10,'Pop Cibles'!BE10,0)+IF('Pop Cibles'!AY10&lt;'Pop Cibles'!BF10,'Pop Cibles'!BF10,0)</f>
        <v>0</v>
      </c>
      <c r="W10" s="22">
        <f>IF('Pop Cibles'!BL10&lt;'Pop Cibles'!BS10,'Pop Cibles'!BS10,0)+IF('Pop Cibles'!BM10&lt;'Pop Cibles'!BT10,'Pop Cibles'!BT10,0)+IF('Pop Cibles'!BN10&lt;'Pop Cibles'!BU10,'Pop Cibles'!BU10,0)</f>
        <v>0</v>
      </c>
      <c r="X10" s="22">
        <f>'Pop Cibles'!I10*2.5+'Pop Cibles'!J10*3</f>
        <v>0</v>
      </c>
      <c r="Y10" s="22">
        <f>'Pop Cibles'!X10*2.5+'Pop Cibles'!Y10*3</f>
        <v>0</v>
      </c>
      <c r="Z10" s="22">
        <f>'Pop Cibles'!AM10*2.5+'Pop Cibles'!AN10*3</f>
        <v>0</v>
      </c>
      <c r="AA10" s="22">
        <f>'Pop Cibles'!BB10*2.5+'Pop Cibles'!BC10*3</f>
        <v>0</v>
      </c>
      <c r="AB10" s="22">
        <f>'Pop Cibles'!BQ10*2.5+'Pop Cibles'!BR10*3</f>
        <v>0</v>
      </c>
      <c r="AC10" s="22">
        <f>'Pop Cibles'!N10*2</f>
        <v>0</v>
      </c>
      <c r="AD10" s="22">
        <f>'Pop Cibles'!AC10*2</f>
        <v>0</v>
      </c>
      <c r="AE10" s="22">
        <f>'Pop Cibles'!AR10*2</f>
        <v>0</v>
      </c>
      <c r="AF10" s="22">
        <f>'Pop Cibles'!BG10*2</f>
        <v>0</v>
      </c>
      <c r="AG10" s="22">
        <f>'Pop Cibles'!BV10*2</f>
        <v>0</v>
      </c>
      <c r="AH10" s="22">
        <f>'Pop Cibles'!O10*0.33</f>
        <v>0</v>
      </c>
      <c r="AI10" s="22">
        <f>'Pop Cibles'!AD10*0.33</f>
        <v>0</v>
      </c>
      <c r="AJ10" s="22">
        <f>'Pop Cibles'!AS10*0.33</f>
        <v>0</v>
      </c>
      <c r="AK10" s="22">
        <f>'Pop Cibles'!BH10*0.33</f>
        <v>0</v>
      </c>
      <c r="AL10" s="22">
        <f>'Pop Cibles'!BW10*0.33</f>
        <v>0</v>
      </c>
      <c r="AM10" s="22">
        <f>('Pop Cibles'!P10+'Pop Cibles'!Q10)*3</f>
        <v>0</v>
      </c>
      <c r="AN10" s="22">
        <f>('Pop Cibles'!AE10+'Pop Cibles'!AF10)*3</f>
        <v>0</v>
      </c>
      <c r="AO10" s="22">
        <f>('Pop Cibles'!AT10+'Pop Cibles'!AU10)*3</f>
        <v>0</v>
      </c>
      <c r="AP10" s="22">
        <f>('Pop Cibles'!BI10+'Pop Cibles'!BJ10)*3</f>
        <v>0</v>
      </c>
      <c r="AQ10" s="22">
        <f>('Pop Cibles'!BY10+'Pop Cibles'!BY10)*3</f>
        <v>0</v>
      </c>
    </row>
    <row r="11" spans="1:43" s="5" customFormat="1" ht="12" customHeight="1">
      <c r="A11" s="19">
        <v>8</v>
      </c>
      <c r="B11" s="20" t="str">
        <f>'Pop Cibles'!B11</f>
        <v>CONAKRY</v>
      </c>
      <c r="C11" s="21" t="str">
        <f>Population!C11</f>
        <v>Matam</v>
      </c>
      <c r="D11" s="22">
        <f>IF(SUM('Plan annuel Différentes Maladie'!K$4:K$996)&gt;0,(MAX('Pop Cibles'!E11,'Pop Cibles'!G11)+MAX('Pop Cibles'!F11,'Pop Cibles'!H11))*2.8,0)</f>
        <v>0</v>
      </c>
      <c r="E11" s="22">
        <f>IF(SUM('Plan annuel Différentes Maladie'!K$4:K$996)&gt;0,(MAX('Pop Cibles'!T11,'Pop Cibles'!V11)+MAX('Pop Cibles'!U11,'Pop Cibles'!W11))*2.8,0)</f>
        <v>0</v>
      </c>
      <c r="F11" s="22">
        <f>IF(SUM('Plan annuel Différentes Maladie'!K$4:K$996)&gt;0,(MAX('Pop Cibles'!AI11,'Pop Cibles'!AK11)+MAX('Pop Cibles'!AJ11,'Pop Cibles'!AL11))*2.8,0)</f>
        <v>0</v>
      </c>
      <c r="G11" s="22">
        <f>IF(SUM('Plan annuel Différentes Maladie'!K$4:K$996)&gt;0,(MAX('Pop Cibles'!AX11,'Pop Cibles'!AZ11)+MAX('Pop Cibles'!AY11,'Pop Cibles'!BA11))*2.8,0)</f>
        <v>0</v>
      </c>
      <c r="H11" s="22">
        <f>IF(SUM('Plan annuel Différentes Maladie'!K$4:K$996)&gt;0,(MAX('Pop Cibles'!BM11,'Pop Cibles'!BO11)+MAX('Pop Cibles'!BN11,'Pop Cibles'!BP11))*2.8,0)</f>
        <v>0</v>
      </c>
      <c r="I11" s="22">
        <f>IF(SUM('Plan annuel Différentes Maladie'!K$4:K$996)=0,('Pop Cibles'!D11+'Pop Cibles'!E11+'Pop Cibles'!F11)*2.5,0)</f>
        <v>0</v>
      </c>
      <c r="J11" s="22">
        <f>IF(SUM('Plan annuel Différentes Maladie'!K$4:K$996)=0,('Pop Cibles'!S11+'Pop Cibles'!T11+'Pop Cibles'!U11)*2.5,0)</f>
        <v>0</v>
      </c>
      <c r="K11" s="22">
        <f>IF(SUM('Plan annuel Différentes Maladie'!K$4:K$996)=0,('Pop Cibles'!AH11+'Pop Cibles'!AI11+'Pop Cibles'!AJ11)*2.5,0)</f>
        <v>0</v>
      </c>
      <c r="L11" s="22">
        <f>IF(SUM('Plan annuel Différentes Maladie'!K$4:K$996)=0,('Pop Cibles'!AW11+'Pop Cibles'!AX11+'Pop Cibles'!AY11)*2.5,0)</f>
        <v>0</v>
      </c>
      <c r="M11" s="22">
        <f>IF(SUM('Plan annuel Différentes Maladie'!K$4:K$996)=0,('Pop Cibles'!BL11+'Pop Cibles'!BM11+'Pop Cibles'!BN11)*2.5,0)</f>
        <v>0</v>
      </c>
      <c r="N11" s="22">
        <f>'Pop Cibles'!D11+'Pop Cibles'!E11+'Pop Cibles'!F11</f>
        <v>0</v>
      </c>
      <c r="O11" s="22">
        <f>'Pop Cibles'!S11+'Pop Cibles'!T11+'Pop Cibles'!U11</f>
        <v>0</v>
      </c>
      <c r="P11" s="22">
        <f>'Pop Cibles'!AH11+'Pop Cibles'!AI11+'Pop Cibles'!AJ11</f>
        <v>0</v>
      </c>
      <c r="Q11" s="22">
        <f>'Pop Cibles'!AW11+'Pop Cibles'!AX11+'Pop Cibles'!AY11</f>
        <v>0</v>
      </c>
      <c r="R11" s="22">
        <f>'Pop Cibles'!BL11+'Pop Cibles'!BM11+'Pop Cibles'!BN11</f>
        <v>0</v>
      </c>
      <c r="S11" s="22">
        <f>IF('Pop Cibles'!D11&lt;'Pop Cibles'!K11,'Pop Cibles'!K11,0)+IF('Pop Cibles'!E11&lt;'Pop Cibles'!L11,'Pop Cibles'!L11,0)+IF('Pop Cibles'!F11&lt;'Pop Cibles'!M11,'Pop Cibles'!M11,0)</f>
        <v>0</v>
      </c>
      <c r="T11" s="22">
        <f>IF('Pop Cibles'!S11&lt;'Pop Cibles'!Z11,'Pop Cibles'!Z11,0)+IF('Pop Cibles'!T11&lt;'Pop Cibles'!AA11,'Pop Cibles'!AA11,0)+IF('Pop Cibles'!U11&lt;'Pop Cibles'!AB11,'Pop Cibles'!AB11,0)</f>
        <v>0</v>
      </c>
      <c r="U11" s="22">
        <f>IF('Pop Cibles'!AH11&lt;'Pop Cibles'!AO11,'Pop Cibles'!AO11,0)+IF('Pop Cibles'!AI11&lt;'Pop Cibles'!AP11,'Pop Cibles'!AP11,0)+IF('Pop Cibles'!AJ11&lt;'Pop Cibles'!AQ11,'Pop Cibles'!AQ11,0)</f>
        <v>0</v>
      </c>
      <c r="V11" s="22">
        <f>IF('Pop Cibles'!AW11&lt;'Pop Cibles'!BD11,'Pop Cibles'!BD11,0)+IF('Pop Cibles'!AX11&lt;'Pop Cibles'!BE11,'Pop Cibles'!BE11,0)+IF('Pop Cibles'!AY11&lt;'Pop Cibles'!BF11,'Pop Cibles'!BF11,0)</f>
        <v>0</v>
      </c>
      <c r="W11" s="22">
        <f>IF('Pop Cibles'!BL11&lt;'Pop Cibles'!BS11,'Pop Cibles'!BS11,0)+IF('Pop Cibles'!BM11&lt;'Pop Cibles'!BT11,'Pop Cibles'!BT11,0)+IF('Pop Cibles'!BN11&lt;'Pop Cibles'!BU11,'Pop Cibles'!BU11,0)</f>
        <v>0</v>
      </c>
      <c r="X11" s="22">
        <f>'Pop Cibles'!I11*2.5+'Pop Cibles'!J11*3</f>
        <v>0</v>
      </c>
      <c r="Y11" s="22">
        <f>'Pop Cibles'!X11*2.5+'Pop Cibles'!Y11*3</f>
        <v>0</v>
      </c>
      <c r="Z11" s="22">
        <f>'Pop Cibles'!AM11*2.5+'Pop Cibles'!AN11*3</f>
        <v>0</v>
      </c>
      <c r="AA11" s="22">
        <f>'Pop Cibles'!BB11*2.5+'Pop Cibles'!BC11*3</f>
        <v>0</v>
      </c>
      <c r="AB11" s="22">
        <f>'Pop Cibles'!BQ11*2.5+'Pop Cibles'!BR11*3</f>
        <v>0</v>
      </c>
      <c r="AC11" s="22">
        <f>'Pop Cibles'!N11*2</f>
        <v>0</v>
      </c>
      <c r="AD11" s="22">
        <f>'Pop Cibles'!AC11*2</f>
        <v>0</v>
      </c>
      <c r="AE11" s="22">
        <f>'Pop Cibles'!AR11*2</f>
        <v>0</v>
      </c>
      <c r="AF11" s="22">
        <f>'Pop Cibles'!BG11*2</f>
        <v>0</v>
      </c>
      <c r="AG11" s="22">
        <f>'Pop Cibles'!BV11*2</f>
        <v>0</v>
      </c>
      <c r="AH11" s="22">
        <f>'Pop Cibles'!O11*0.33</f>
        <v>0</v>
      </c>
      <c r="AI11" s="22">
        <f>'Pop Cibles'!AD11*0.33</f>
        <v>0</v>
      </c>
      <c r="AJ11" s="22">
        <f>'Pop Cibles'!AS11*0.33</f>
        <v>0</v>
      </c>
      <c r="AK11" s="22">
        <f>'Pop Cibles'!BH11*0.33</f>
        <v>0</v>
      </c>
      <c r="AL11" s="22">
        <f>'Pop Cibles'!BW11*0.33</f>
        <v>0</v>
      </c>
      <c r="AM11" s="22">
        <f>('Pop Cibles'!P11+'Pop Cibles'!Q11)*3</f>
        <v>0</v>
      </c>
      <c r="AN11" s="22">
        <f>('Pop Cibles'!AE11+'Pop Cibles'!AF11)*3</f>
        <v>0</v>
      </c>
      <c r="AO11" s="22">
        <f>('Pop Cibles'!AT11+'Pop Cibles'!AU11)*3</f>
        <v>0</v>
      </c>
      <c r="AP11" s="22">
        <f>('Pop Cibles'!BI11+'Pop Cibles'!BJ11)*3</f>
        <v>0</v>
      </c>
      <c r="AQ11" s="22">
        <f>('Pop Cibles'!BY11+'Pop Cibles'!BY11)*3</f>
        <v>0</v>
      </c>
    </row>
    <row r="12" spans="1:43" s="5" customFormat="1" ht="12" customHeight="1">
      <c r="A12" s="19">
        <v>9</v>
      </c>
      <c r="B12" s="20" t="str">
        <f>'Pop Cibles'!B12</f>
        <v>CONAKRY</v>
      </c>
      <c r="C12" s="21" t="str">
        <f>Population!C12</f>
        <v>Matoto</v>
      </c>
      <c r="D12" s="22">
        <f>IF(SUM('Plan annuel Différentes Maladie'!K$4:K$996)&gt;0,(MAX('Pop Cibles'!E12,'Pop Cibles'!G12)+MAX('Pop Cibles'!F12,'Pop Cibles'!H12))*2.8,0)</f>
        <v>0</v>
      </c>
      <c r="E12" s="22">
        <f>IF(SUM('Plan annuel Différentes Maladie'!K$4:K$996)&gt;0,(MAX('Pop Cibles'!T12,'Pop Cibles'!V12)+MAX('Pop Cibles'!U12,'Pop Cibles'!W12))*2.8,0)</f>
        <v>0</v>
      </c>
      <c r="F12" s="22">
        <f>IF(SUM('Plan annuel Différentes Maladie'!K$4:K$996)&gt;0,(MAX('Pop Cibles'!AI12,'Pop Cibles'!AK12)+MAX('Pop Cibles'!AJ12,'Pop Cibles'!AL12))*2.8,0)</f>
        <v>0</v>
      </c>
      <c r="G12" s="22">
        <f>IF(SUM('Plan annuel Différentes Maladie'!K$4:K$996)&gt;0,(MAX('Pop Cibles'!AX12,'Pop Cibles'!AZ12)+MAX('Pop Cibles'!AY12,'Pop Cibles'!BA12))*2.8,0)</f>
        <v>0</v>
      </c>
      <c r="H12" s="22">
        <f>IF(SUM('Plan annuel Différentes Maladie'!K$4:K$996)&gt;0,(MAX('Pop Cibles'!BM12,'Pop Cibles'!BO12)+MAX('Pop Cibles'!BN12,'Pop Cibles'!BP12))*2.8,0)</f>
        <v>0</v>
      </c>
      <c r="I12" s="22">
        <f>IF(SUM('Plan annuel Différentes Maladie'!K$4:K$996)=0,('Pop Cibles'!D12+'Pop Cibles'!E12+'Pop Cibles'!F12)*2.5,0)</f>
        <v>0</v>
      </c>
      <c r="J12" s="22">
        <f>IF(SUM('Plan annuel Différentes Maladie'!K$4:K$996)=0,('Pop Cibles'!S12+'Pop Cibles'!T12+'Pop Cibles'!U12)*2.5,0)</f>
        <v>0</v>
      </c>
      <c r="K12" s="22">
        <f>IF(SUM('Plan annuel Différentes Maladie'!K$4:K$996)=0,('Pop Cibles'!AH12+'Pop Cibles'!AI12+'Pop Cibles'!AJ12)*2.5,0)</f>
        <v>0</v>
      </c>
      <c r="L12" s="22">
        <f>IF(SUM('Plan annuel Différentes Maladie'!K$4:K$996)=0,('Pop Cibles'!AW12+'Pop Cibles'!AX12+'Pop Cibles'!AY12)*2.5,0)</f>
        <v>0</v>
      </c>
      <c r="M12" s="22">
        <f>IF(SUM('Plan annuel Différentes Maladie'!K$4:K$996)=0,('Pop Cibles'!BL12+'Pop Cibles'!BM12+'Pop Cibles'!BN12)*2.5,0)</f>
        <v>0</v>
      </c>
      <c r="N12" s="22">
        <f>'Pop Cibles'!D12+'Pop Cibles'!E12+'Pop Cibles'!F12</f>
        <v>0</v>
      </c>
      <c r="O12" s="22">
        <f>'Pop Cibles'!S12+'Pop Cibles'!T12+'Pop Cibles'!U12</f>
        <v>0</v>
      </c>
      <c r="P12" s="22">
        <f>'Pop Cibles'!AH12+'Pop Cibles'!AI12+'Pop Cibles'!AJ12</f>
        <v>0</v>
      </c>
      <c r="Q12" s="22">
        <f>'Pop Cibles'!AW12+'Pop Cibles'!AX12+'Pop Cibles'!AY12</f>
        <v>0</v>
      </c>
      <c r="R12" s="22">
        <f>'Pop Cibles'!BL12+'Pop Cibles'!BM12+'Pop Cibles'!BN12</f>
        <v>0</v>
      </c>
      <c r="S12" s="22">
        <f>IF('Pop Cibles'!D12&lt;'Pop Cibles'!K12,'Pop Cibles'!K12,0)+IF('Pop Cibles'!E12&lt;'Pop Cibles'!L12,'Pop Cibles'!L12,0)+IF('Pop Cibles'!F12&lt;'Pop Cibles'!M12,'Pop Cibles'!M12,0)</f>
        <v>0</v>
      </c>
      <c r="T12" s="22">
        <f>IF('Pop Cibles'!S12&lt;'Pop Cibles'!Z12,'Pop Cibles'!Z12,0)+IF('Pop Cibles'!T12&lt;'Pop Cibles'!AA12,'Pop Cibles'!AA12,0)+IF('Pop Cibles'!U12&lt;'Pop Cibles'!AB12,'Pop Cibles'!AB12,0)</f>
        <v>0</v>
      </c>
      <c r="U12" s="22">
        <f>IF('Pop Cibles'!AH12&lt;'Pop Cibles'!AO12,'Pop Cibles'!AO12,0)+IF('Pop Cibles'!AI12&lt;'Pop Cibles'!AP12,'Pop Cibles'!AP12,0)+IF('Pop Cibles'!AJ12&lt;'Pop Cibles'!AQ12,'Pop Cibles'!AQ12,0)</f>
        <v>0</v>
      </c>
      <c r="V12" s="22">
        <f>IF('Pop Cibles'!AW12&lt;'Pop Cibles'!BD12,'Pop Cibles'!BD12,0)+IF('Pop Cibles'!AX12&lt;'Pop Cibles'!BE12,'Pop Cibles'!BE12,0)+IF('Pop Cibles'!AY12&lt;'Pop Cibles'!BF12,'Pop Cibles'!BF12,0)</f>
        <v>0</v>
      </c>
      <c r="W12" s="22">
        <f>IF('Pop Cibles'!BL12&lt;'Pop Cibles'!BS12,'Pop Cibles'!BS12,0)+IF('Pop Cibles'!BM12&lt;'Pop Cibles'!BT12,'Pop Cibles'!BT12,0)+IF('Pop Cibles'!BN12&lt;'Pop Cibles'!BU12,'Pop Cibles'!BU12,0)</f>
        <v>0</v>
      </c>
      <c r="X12" s="22">
        <f>'Pop Cibles'!I12*2.5+'Pop Cibles'!J12*3</f>
        <v>474954.375</v>
      </c>
      <c r="Y12" s="22">
        <f>'Pop Cibles'!X12*2.5+'Pop Cibles'!Y12*3</f>
        <v>0</v>
      </c>
      <c r="Z12" s="22">
        <f>'Pop Cibles'!AM12*2.5+'Pop Cibles'!AN12*3</f>
        <v>500948.15298937494</v>
      </c>
      <c r="AA12" s="22">
        <f>'Pop Cibles'!BB12*2.5+'Pop Cibles'!BC12*3</f>
        <v>0</v>
      </c>
      <c r="AB12" s="22">
        <f>'Pop Cibles'!BQ12*2.5+'Pop Cibles'!BR12*3</f>
        <v>528364.54445433035</v>
      </c>
      <c r="AC12" s="22">
        <f>'Pop Cibles'!N12*2</f>
        <v>0</v>
      </c>
      <c r="AD12" s="22">
        <f>'Pop Cibles'!AC12*2</f>
        <v>0</v>
      </c>
      <c r="AE12" s="22">
        <f>'Pop Cibles'!AR12*2</f>
        <v>0</v>
      </c>
      <c r="AF12" s="22">
        <f>'Pop Cibles'!BG12*2</f>
        <v>0</v>
      </c>
      <c r="AG12" s="22">
        <f>'Pop Cibles'!BV12*2</f>
        <v>0</v>
      </c>
      <c r="AH12" s="22">
        <f>'Pop Cibles'!O12*0.33</f>
        <v>0</v>
      </c>
      <c r="AI12" s="22">
        <f>'Pop Cibles'!AD12*0.33</f>
        <v>0</v>
      </c>
      <c r="AJ12" s="22">
        <f>'Pop Cibles'!AS12*0.33</f>
        <v>0</v>
      </c>
      <c r="AK12" s="22">
        <f>'Pop Cibles'!BH12*0.33</f>
        <v>0</v>
      </c>
      <c r="AL12" s="22">
        <f>'Pop Cibles'!BW12*0.33</f>
        <v>0</v>
      </c>
      <c r="AM12" s="22">
        <f>('Pop Cibles'!P12+'Pop Cibles'!Q12)*3</f>
        <v>0</v>
      </c>
      <c r="AN12" s="22">
        <f>('Pop Cibles'!AE12+'Pop Cibles'!AF12)*3</f>
        <v>0</v>
      </c>
      <c r="AO12" s="22">
        <f>('Pop Cibles'!AT12+'Pop Cibles'!AU12)*3</f>
        <v>0</v>
      </c>
      <c r="AP12" s="22">
        <f>('Pop Cibles'!BI12+'Pop Cibles'!BJ12)*3</f>
        <v>0</v>
      </c>
      <c r="AQ12" s="22">
        <f>('Pop Cibles'!BY12+'Pop Cibles'!BY12)*3</f>
        <v>0</v>
      </c>
    </row>
    <row r="13" spans="1:43" s="5" customFormat="1" ht="12" customHeight="1">
      <c r="A13" s="19">
        <v>10</v>
      </c>
      <c r="B13" s="20" t="str">
        <f>'Pop Cibles'!B13</f>
        <v>CONAKRY</v>
      </c>
      <c r="C13" s="21" t="str">
        <f>Population!C13</f>
        <v>Ratoma</v>
      </c>
      <c r="D13" s="22">
        <f>IF(SUM('Plan annuel Différentes Maladie'!K$4:K$996)&gt;0,(MAX('Pop Cibles'!E13,'Pop Cibles'!G13)+MAX('Pop Cibles'!F13,'Pop Cibles'!H13))*2.8,0)</f>
        <v>0</v>
      </c>
      <c r="E13" s="22">
        <f>IF(SUM('Plan annuel Différentes Maladie'!K$4:K$996)&gt;0,(MAX('Pop Cibles'!T13,'Pop Cibles'!V13)+MAX('Pop Cibles'!U13,'Pop Cibles'!W13))*2.8,0)</f>
        <v>0</v>
      </c>
      <c r="F13" s="22">
        <f>IF(SUM('Plan annuel Différentes Maladie'!K$4:K$996)&gt;0,(MAX('Pop Cibles'!AI13,'Pop Cibles'!AK13)+MAX('Pop Cibles'!AJ13,'Pop Cibles'!AL13))*2.8,0)</f>
        <v>0</v>
      </c>
      <c r="G13" s="22">
        <f>IF(SUM('Plan annuel Différentes Maladie'!K$4:K$996)&gt;0,(MAX('Pop Cibles'!AX13,'Pop Cibles'!AZ13)+MAX('Pop Cibles'!AY13,'Pop Cibles'!BA13))*2.8,0)</f>
        <v>0</v>
      </c>
      <c r="H13" s="22">
        <f>IF(SUM('Plan annuel Différentes Maladie'!K$4:K$996)&gt;0,(MAX('Pop Cibles'!BM13,'Pop Cibles'!BO13)+MAX('Pop Cibles'!BN13,'Pop Cibles'!BP13))*2.8,0)</f>
        <v>0</v>
      </c>
      <c r="I13" s="22">
        <f>IF(SUM('Plan annuel Différentes Maladie'!K$4:K$996)=0,('Pop Cibles'!D13+'Pop Cibles'!E13+'Pop Cibles'!F13)*2.5,0)</f>
        <v>0</v>
      </c>
      <c r="J13" s="22">
        <f>IF(SUM('Plan annuel Différentes Maladie'!K$4:K$996)=0,('Pop Cibles'!S13+'Pop Cibles'!T13+'Pop Cibles'!U13)*2.5,0)</f>
        <v>0</v>
      </c>
      <c r="K13" s="22">
        <f>IF(SUM('Plan annuel Différentes Maladie'!K$4:K$996)=0,('Pop Cibles'!AH13+'Pop Cibles'!AI13+'Pop Cibles'!AJ13)*2.5,0)</f>
        <v>0</v>
      </c>
      <c r="L13" s="22">
        <f>IF(SUM('Plan annuel Différentes Maladie'!K$4:K$996)=0,('Pop Cibles'!AW13+'Pop Cibles'!AX13+'Pop Cibles'!AY13)*2.5,0)</f>
        <v>0</v>
      </c>
      <c r="M13" s="22">
        <f>IF(SUM('Plan annuel Différentes Maladie'!K$4:K$996)=0,('Pop Cibles'!BL13+'Pop Cibles'!BM13+'Pop Cibles'!BN13)*2.5,0)</f>
        <v>0</v>
      </c>
      <c r="N13" s="22">
        <f>'Pop Cibles'!D13+'Pop Cibles'!E13+'Pop Cibles'!F13</f>
        <v>0</v>
      </c>
      <c r="O13" s="22">
        <f>'Pop Cibles'!S13+'Pop Cibles'!T13+'Pop Cibles'!U13</f>
        <v>0</v>
      </c>
      <c r="P13" s="22">
        <f>'Pop Cibles'!AH13+'Pop Cibles'!AI13+'Pop Cibles'!AJ13</f>
        <v>0</v>
      </c>
      <c r="Q13" s="22">
        <f>'Pop Cibles'!AW13+'Pop Cibles'!AX13+'Pop Cibles'!AY13</f>
        <v>0</v>
      </c>
      <c r="R13" s="22">
        <f>'Pop Cibles'!BL13+'Pop Cibles'!BM13+'Pop Cibles'!BN13</f>
        <v>0</v>
      </c>
      <c r="S13" s="22">
        <f>IF('Pop Cibles'!D13&lt;'Pop Cibles'!K13,'Pop Cibles'!K13,0)+IF('Pop Cibles'!E13&lt;'Pop Cibles'!L13,'Pop Cibles'!L13,0)+IF('Pop Cibles'!F13&lt;'Pop Cibles'!M13,'Pop Cibles'!M13,0)</f>
        <v>0</v>
      </c>
      <c r="T13" s="22">
        <f>IF('Pop Cibles'!S13&lt;'Pop Cibles'!Z13,'Pop Cibles'!Z13,0)+IF('Pop Cibles'!T13&lt;'Pop Cibles'!AA13,'Pop Cibles'!AA13,0)+IF('Pop Cibles'!U13&lt;'Pop Cibles'!AB13,'Pop Cibles'!AB13,0)</f>
        <v>0</v>
      </c>
      <c r="U13" s="22">
        <f>IF('Pop Cibles'!AH13&lt;'Pop Cibles'!AO13,'Pop Cibles'!AO13,0)+IF('Pop Cibles'!AI13&lt;'Pop Cibles'!AP13,'Pop Cibles'!AP13,0)+IF('Pop Cibles'!AJ13&lt;'Pop Cibles'!AQ13,'Pop Cibles'!AQ13,0)</f>
        <v>0</v>
      </c>
      <c r="V13" s="22">
        <f>IF('Pop Cibles'!AW13&lt;'Pop Cibles'!BD13,'Pop Cibles'!BD13,0)+IF('Pop Cibles'!AX13&lt;'Pop Cibles'!BE13,'Pop Cibles'!BE13,0)+IF('Pop Cibles'!AY13&lt;'Pop Cibles'!BF13,'Pop Cibles'!BF13,0)</f>
        <v>0</v>
      </c>
      <c r="W13" s="22">
        <f>IF('Pop Cibles'!BL13&lt;'Pop Cibles'!BS13,'Pop Cibles'!BS13,0)+IF('Pop Cibles'!BM13&lt;'Pop Cibles'!BT13,'Pop Cibles'!BT13,0)+IF('Pop Cibles'!BN13&lt;'Pop Cibles'!BU13,'Pop Cibles'!BU13,0)</f>
        <v>0</v>
      </c>
      <c r="X13" s="22">
        <f>'Pop Cibles'!I13*2.5+'Pop Cibles'!J13*3</f>
        <v>465324.375</v>
      </c>
      <c r="Y13" s="22">
        <f>'Pop Cibles'!X13*2.5+'Pop Cibles'!Y13*3</f>
        <v>0</v>
      </c>
      <c r="Z13" s="22">
        <f>'Pop Cibles'!AM13*2.5+'Pop Cibles'!AN13*3</f>
        <v>490791.11271937494</v>
      </c>
      <c r="AA13" s="22">
        <f>'Pop Cibles'!BB13*2.5+'Pop Cibles'!BC13*3</f>
        <v>0</v>
      </c>
      <c r="AB13" s="22">
        <f>'Pop Cibles'!BQ13*2.5+'Pop Cibles'!BR13*3</f>
        <v>517651.61952739349</v>
      </c>
      <c r="AC13" s="22">
        <f>'Pop Cibles'!N13*2</f>
        <v>0</v>
      </c>
      <c r="AD13" s="22">
        <f>'Pop Cibles'!AC13*2</f>
        <v>0</v>
      </c>
      <c r="AE13" s="22">
        <f>'Pop Cibles'!AR13*2</f>
        <v>0</v>
      </c>
      <c r="AF13" s="22">
        <f>'Pop Cibles'!BG13*2</f>
        <v>0</v>
      </c>
      <c r="AG13" s="22">
        <f>'Pop Cibles'!BV13*2</f>
        <v>0</v>
      </c>
      <c r="AH13" s="22">
        <f>'Pop Cibles'!O13*0.33</f>
        <v>0</v>
      </c>
      <c r="AI13" s="22">
        <f>'Pop Cibles'!AD13*0.33</f>
        <v>0</v>
      </c>
      <c r="AJ13" s="22">
        <f>'Pop Cibles'!AS13*0.33</f>
        <v>0</v>
      </c>
      <c r="AK13" s="22">
        <f>'Pop Cibles'!BH13*0.33</f>
        <v>0</v>
      </c>
      <c r="AL13" s="22">
        <f>'Pop Cibles'!BW13*0.33</f>
        <v>0</v>
      </c>
      <c r="AM13" s="22">
        <f>('Pop Cibles'!P13+'Pop Cibles'!Q13)*3</f>
        <v>0</v>
      </c>
      <c r="AN13" s="22">
        <f>('Pop Cibles'!AE13+'Pop Cibles'!AF13)*3</f>
        <v>0</v>
      </c>
      <c r="AO13" s="22">
        <f>('Pop Cibles'!AT13+'Pop Cibles'!AU13)*3</f>
        <v>0</v>
      </c>
      <c r="AP13" s="22">
        <f>('Pop Cibles'!BI13+'Pop Cibles'!BJ13)*3</f>
        <v>0</v>
      </c>
      <c r="AQ13" s="22">
        <f>('Pop Cibles'!BY13+'Pop Cibles'!BY13)*3</f>
        <v>0</v>
      </c>
    </row>
    <row r="14" spans="1:43" s="5" customFormat="1" ht="12" customHeight="1">
      <c r="A14" s="19">
        <v>11</v>
      </c>
      <c r="B14" s="20" t="str">
        <f>'Pop Cibles'!B14</f>
        <v>FARANAH</v>
      </c>
      <c r="C14" s="21" t="str">
        <f>Population!C14</f>
        <v>Dabola</v>
      </c>
      <c r="D14" s="22">
        <f>IF(SUM('Plan annuel Différentes Maladie'!K$4:K$996)&gt;0,(MAX('Pop Cibles'!E14,'Pop Cibles'!G14)+MAX('Pop Cibles'!F14,'Pop Cibles'!H14))*2.8,0)</f>
        <v>463682.23999999993</v>
      </c>
      <c r="E14" s="22">
        <f>IF(SUM('Plan annuel Différentes Maladie'!K$4:K$996)&gt;0,(MAX('Pop Cibles'!T14,'Pop Cibles'!V14)+MAX('Pop Cibles'!U14,'Pop Cibles'!W14))*2.8,0)</f>
        <v>476201.6604799999</v>
      </c>
      <c r="F14" s="22">
        <f>IF(SUM('Plan annuel Différentes Maladie'!K$4:K$996)&gt;0,(MAX('Pop Cibles'!AI14,'Pop Cibles'!AK14)+MAX('Pop Cibles'!AJ14,'Pop Cibles'!AL14))*2.8,0)</f>
        <v>489059.10531295981</v>
      </c>
      <c r="G14" s="22">
        <f>IF(SUM('Plan annuel Différentes Maladie'!K$4:K$996)&gt;0,(MAX('Pop Cibles'!AX14,'Pop Cibles'!AZ14)+MAX('Pop Cibles'!AY14,'Pop Cibles'!BA14))*2.8,0)</f>
        <v>502263.70115640969</v>
      </c>
      <c r="H14" s="22">
        <f>IF(SUM('Plan annuel Différentes Maladie'!K$4:K$996)&gt;0,(MAX('Pop Cibles'!BM14,'Pop Cibles'!BO14)+MAX('Pop Cibles'!BN14,'Pop Cibles'!BP14))*2.8,0)</f>
        <v>515824.82108763279</v>
      </c>
      <c r="I14" s="22">
        <f>IF(SUM('Plan annuel Différentes Maladie'!K$4:K$996)=0,('Pop Cibles'!D14+'Pop Cibles'!E14+'Pop Cibles'!F14)*2.5,0)</f>
        <v>0</v>
      </c>
      <c r="J14" s="22">
        <f>IF(SUM('Plan annuel Différentes Maladie'!K$4:K$996)=0,('Pop Cibles'!S14+'Pop Cibles'!T14+'Pop Cibles'!U14)*2.5,0)</f>
        <v>0</v>
      </c>
      <c r="K14" s="22">
        <f>IF(SUM('Plan annuel Différentes Maladie'!K$4:K$996)=0,('Pop Cibles'!AH14+'Pop Cibles'!AI14+'Pop Cibles'!AJ14)*2.5,0)</f>
        <v>0</v>
      </c>
      <c r="L14" s="22">
        <f>IF(SUM('Plan annuel Différentes Maladie'!K$4:K$996)=0,('Pop Cibles'!AW14+'Pop Cibles'!AX14+'Pop Cibles'!AY14)*2.5,0)</f>
        <v>0</v>
      </c>
      <c r="M14" s="22">
        <f>IF(SUM('Plan annuel Différentes Maladie'!K$4:K$996)=0,('Pop Cibles'!BL14+'Pop Cibles'!BM14+'Pop Cibles'!BN14)*2.5,0)</f>
        <v>0</v>
      </c>
      <c r="N14" s="22">
        <f>'Pop Cibles'!D14+'Pop Cibles'!E14+'Pop Cibles'!F14</f>
        <v>165600.79999999999</v>
      </c>
      <c r="O14" s="22">
        <f>'Pop Cibles'!S14+'Pop Cibles'!T14+'Pop Cibles'!U14</f>
        <v>170072.02159999998</v>
      </c>
      <c r="P14" s="22">
        <f>'Pop Cibles'!AH14+'Pop Cibles'!AI14+'Pop Cibles'!AJ14</f>
        <v>174663.96618319995</v>
      </c>
      <c r="Q14" s="22">
        <f>'Pop Cibles'!AW14+'Pop Cibles'!AX14+'Pop Cibles'!AY14</f>
        <v>179379.89327014633</v>
      </c>
      <c r="R14" s="22">
        <f>'Pop Cibles'!BL14+'Pop Cibles'!BM14+'Pop Cibles'!BN14</f>
        <v>184223.15038844029</v>
      </c>
      <c r="S14" s="22">
        <f>IF('Pop Cibles'!D14&lt;'Pop Cibles'!K14,'Pop Cibles'!K14,0)+IF('Pop Cibles'!E14&lt;'Pop Cibles'!L14,'Pop Cibles'!L14,0)+IF('Pop Cibles'!F14&lt;'Pop Cibles'!M14,'Pop Cibles'!M14,0)</f>
        <v>0</v>
      </c>
      <c r="T14" s="22">
        <f>IF('Pop Cibles'!S14&lt;'Pop Cibles'!Z14,'Pop Cibles'!Z14,0)+IF('Pop Cibles'!T14&lt;'Pop Cibles'!AA14,'Pop Cibles'!AA14,0)+IF('Pop Cibles'!U14&lt;'Pop Cibles'!AB14,'Pop Cibles'!AB14,0)</f>
        <v>0</v>
      </c>
      <c r="U14" s="22">
        <f>IF('Pop Cibles'!AH14&lt;'Pop Cibles'!AO14,'Pop Cibles'!AO14,0)+IF('Pop Cibles'!AI14&lt;'Pop Cibles'!AP14,'Pop Cibles'!AP14,0)+IF('Pop Cibles'!AJ14&lt;'Pop Cibles'!AQ14,'Pop Cibles'!AQ14,0)</f>
        <v>0</v>
      </c>
      <c r="V14" s="22">
        <f>IF('Pop Cibles'!AW14&lt;'Pop Cibles'!BD14,'Pop Cibles'!BD14,0)+IF('Pop Cibles'!AX14&lt;'Pop Cibles'!BE14,'Pop Cibles'!BE14,0)+IF('Pop Cibles'!AY14&lt;'Pop Cibles'!BF14,'Pop Cibles'!BF14,0)</f>
        <v>0</v>
      </c>
      <c r="W14" s="22">
        <f>IF('Pop Cibles'!BL14&lt;'Pop Cibles'!BS14,'Pop Cibles'!BS14,0)+IF('Pop Cibles'!BM14&lt;'Pop Cibles'!BT14,'Pop Cibles'!BT14,0)+IF('Pop Cibles'!BN14&lt;'Pop Cibles'!BU14,'Pop Cibles'!BU14,0)</f>
        <v>0</v>
      </c>
      <c r="X14" s="22">
        <f>'Pop Cibles'!I14*2.5+'Pop Cibles'!J14*3</f>
        <v>0</v>
      </c>
      <c r="Y14" s="22">
        <f>'Pop Cibles'!X14*2.5+'Pop Cibles'!Y14*3</f>
        <v>0</v>
      </c>
      <c r="Z14" s="22">
        <f>'Pop Cibles'!AM14*2.5+'Pop Cibles'!AN14*3</f>
        <v>791446.09676762484</v>
      </c>
      <c r="AA14" s="22">
        <f>'Pop Cibles'!BB14*2.5+'Pop Cibles'!BC14*3</f>
        <v>0</v>
      </c>
      <c r="AB14" s="22">
        <f>'Pop Cibles'!BQ14*2.5+'Pop Cibles'!BR14*3</f>
        <v>0</v>
      </c>
      <c r="AC14" s="22">
        <f>'Pop Cibles'!N14*2</f>
        <v>6624.0320000000011</v>
      </c>
      <c r="AD14" s="22">
        <f>'Pop Cibles'!AC14*2</f>
        <v>6802.8808640000007</v>
      </c>
      <c r="AE14" s="22">
        <f>'Pop Cibles'!AR14*2</f>
        <v>6986.5586473279991</v>
      </c>
      <c r="AF14" s="22">
        <f>'Pop Cibles'!BG14*2</f>
        <v>7175.1957308058545</v>
      </c>
      <c r="AG14" s="22">
        <f>'Pop Cibles'!BV14*2</f>
        <v>7368.9260155376114</v>
      </c>
      <c r="AH14" s="22">
        <f>'Pop Cibles'!O14*0.33</f>
        <v>9836.6875200000013</v>
      </c>
      <c r="AI14" s="22">
        <f>'Pop Cibles'!AD14*0.33</f>
        <v>10102.278083040001</v>
      </c>
      <c r="AJ14" s="22">
        <f>'Pop Cibles'!AS14*0.33</f>
        <v>10375.039591282079</v>
      </c>
      <c r="AK14" s="22">
        <f>'Pop Cibles'!BH14*0.33</f>
        <v>10655.165660246694</v>
      </c>
      <c r="AL14" s="22">
        <f>'Pop Cibles'!BW14*0.33</f>
        <v>10942.855133073355</v>
      </c>
      <c r="AM14" s="22">
        <f>('Pop Cibles'!P14+'Pop Cibles'!Q14)*3</f>
        <v>397441.92000000004</v>
      </c>
      <c r="AN14" s="22">
        <f>('Pop Cibles'!AE14+'Pop Cibles'!AF14)*3</f>
        <v>408172.85184000002</v>
      </c>
      <c r="AO14" s="22">
        <f>('Pop Cibles'!AT14+'Pop Cibles'!AU14)*3</f>
        <v>419193.51883967989</v>
      </c>
      <c r="AP14" s="22">
        <f>('Pop Cibles'!BI14+'Pop Cibles'!BJ14)*3</f>
        <v>430511.74384835124</v>
      </c>
      <c r="AQ14" s="22">
        <f>('Pop Cibles'!BY14+'Pop Cibles'!BY14)*3</f>
        <v>607936.39628185285</v>
      </c>
    </row>
    <row r="15" spans="1:43" s="5" customFormat="1" ht="12" customHeight="1">
      <c r="A15" s="19">
        <v>12</v>
      </c>
      <c r="B15" s="20" t="str">
        <f>'Pop Cibles'!B15</f>
        <v>FARANAH</v>
      </c>
      <c r="C15" s="21" t="str">
        <f>Population!C15</f>
        <v>Dinguiraye</v>
      </c>
      <c r="D15" s="22">
        <f>IF(SUM('Plan annuel Différentes Maladie'!K$4:K$996)&gt;0,(MAX('Pop Cibles'!E15,'Pop Cibles'!G15)+MAX('Pop Cibles'!F15,'Pop Cibles'!H15))*2.8,0)</f>
        <v>492531.19999999995</v>
      </c>
      <c r="E15" s="22">
        <f>IF(SUM('Plan annuel Différentes Maladie'!K$4:K$996)&gt;0,(MAX('Pop Cibles'!T15,'Pop Cibles'!V15)+MAX('Pop Cibles'!U15,'Pop Cibles'!W15))*2.8,0)</f>
        <v>505829.54239999986</v>
      </c>
      <c r="F15" s="22">
        <f>IF(SUM('Plan annuel Différentes Maladie'!K$4:K$996)&gt;0,(MAX('Pop Cibles'!AI15,'Pop Cibles'!AK15)+MAX('Pop Cibles'!AJ15,'Pop Cibles'!AL15))*2.8,0)</f>
        <v>519486.94004479976</v>
      </c>
      <c r="G15" s="22">
        <f>IF(SUM('Plan annuel Différentes Maladie'!K$4:K$996)&gt;0,(MAX('Pop Cibles'!AX15,'Pop Cibles'!AZ15)+MAX('Pop Cibles'!AY15,'Pop Cibles'!BA15))*2.8,0)</f>
        <v>533513.08742600936</v>
      </c>
      <c r="H15" s="22">
        <f>IF(SUM('Plan annuel Différentes Maladie'!K$4:K$996)&gt;0,(MAX('Pop Cibles'!BM15,'Pop Cibles'!BO15)+MAX('Pop Cibles'!BN15,'Pop Cibles'!BP15))*2.8,0)</f>
        <v>547917.94078651164</v>
      </c>
      <c r="I15" s="22">
        <f>IF(SUM('Plan annuel Différentes Maladie'!K$4:K$996)=0,('Pop Cibles'!D15+'Pop Cibles'!E15+'Pop Cibles'!F15)*2.5,0)</f>
        <v>0</v>
      </c>
      <c r="J15" s="22">
        <f>IF(SUM('Plan annuel Différentes Maladie'!K$4:K$996)=0,('Pop Cibles'!S15+'Pop Cibles'!T15+'Pop Cibles'!U15)*2.5,0)</f>
        <v>0</v>
      </c>
      <c r="K15" s="22">
        <f>IF(SUM('Plan annuel Différentes Maladie'!K$4:K$996)=0,('Pop Cibles'!AH15+'Pop Cibles'!AI15+'Pop Cibles'!AJ15)*2.5,0)</f>
        <v>0</v>
      </c>
      <c r="L15" s="22">
        <f>IF(SUM('Plan annuel Différentes Maladie'!K$4:K$996)=0,('Pop Cibles'!AW15+'Pop Cibles'!AX15+'Pop Cibles'!AY15)*2.5,0)</f>
        <v>0</v>
      </c>
      <c r="M15" s="22">
        <f>IF(SUM('Plan annuel Différentes Maladie'!K$4:K$996)=0,('Pop Cibles'!BL15+'Pop Cibles'!BM15+'Pop Cibles'!BN15)*2.5,0)</f>
        <v>0</v>
      </c>
      <c r="N15" s="22">
        <f>'Pop Cibles'!D15+'Pop Cibles'!E15+'Pop Cibles'!F15</f>
        <v>175904</v>
      </c>
      <c r="O15" s="22">
        <f>'Pop Cibles'!S15+'Pop Cibles'!T15+'Pop Cibles'!U15</f>
        <v>180653.40799999997</v>
      </c>
      <c r="P15" s="22">
        <f>'Pop Cibles'!AH15+'Pop Cibles'!AI15+'Pop Cibles'!AJ15</f>
        <v>185531.05001599994</v>
      </c>
      <c r="Q15" s="22">
        <f>'Pop Cibles'!AW15+'Pop Cibles'!AX15+'Pop Cibles'!AY15</f>
        <v>190540.38836643193</v>
      </c>
      <c r="R15" s="22">
        <f>'Pop Cibles'!BL15+'Pop Cibles'!BM15+'Pop Cibles'!BN15</f>
        <v>195684.97885232558</v>
      </c>
      <c r="S15" s="22">
        <f>IF('Pop Cibles'!D15&lt;'Pop Cibles'!K15,'Pop Cibles'!K15,0)+IF('Pop Cibles'!E15&lt;'Pop Cibles'!L15,'Pop Cibles'!L15,0)+IF('Pop Cibles'!F15&lt;'Pop Cibles'!M15,'Pop Cibles'!M15,0)</f>
        <v>0</v>
      </c>
      <c r="T15" s="22">
        <f>IF('Pop Cibles'!S15&lt;'Pop Cibles'!Z15,'Pop Cibles'!Z15,0)+IF('Pop Cibles'!T15&lt;'Pop Cibles'!AA15,'Pop Cibles'!AA15,0)+IF('Pop Cibles'!U15&lt;'Pop Cibles'!AB15,'Pop Cibles'!AB15,0)</f>
        <v>0</v>
      </c>
      <c r="U15" s="22">
        <f>IF('Pop Cibles'!AH15&lt;'Pop Cibles'!AO15,'Pop Cibles'!AO15,0)+IF('Pop Cibles'!AI15&lt;'Pop Cibles'!AP15,'Pop Cibles'!AP15,0)+IF('Pop Cibles'!AJ15&lt;'Pop Cibles'!AQ15,'Pop Cibles'!AQ15,0)</f>
        <v>0</v>
      </c>
      <c r="V15" s="22">
        <f>IF('Pop Cibles'!AW15&lt;'Pop Cibles'!BD15,'Pop Cibles'!BD15,0)+IF('Pop Cibles'!AX15&lt;'Pop Cibles'!BE15,'Pop Cibles'!BE15,0)+IF('Pop Cibles'!AY15&lt;'Pop Cibles'!BF15,'Pop Cibles'!BF15,0)</f>
        <v>0</v>
      </c>
      <c r="W15" s="22">
        <f>IF('Pop Cibles'!BL15&lt;'Pop Cibles'!BS15,'Pop Cibles'!BS15,0)+IF('Pop Cibles'!BM15&lt;'Pop Cibles'!BT15,'Pop Cibles'!BT15,0)+IF('Pop Cibles'!BN15&lt;'Pop Cibles'!BU15,'Pop Cibles'!BU15,0)</f>
        <v>0</v>
      </c>
      <c r="X15" s="22">
        <f>'Pop Cibles'!I15*2.5+'Pop Cibles'!J15*3</f>
        <v>797065</v>
      </c>
      <c r="Y15" s="22">
        <f>'Pop Cibles'!X15*2.5+'Pop Cibles'!Y15*3</f>
        <v>818585.75499999989</v>
      </c>
      <c r="Z15" s="22">
        <f>'Pop Cibles'!AM15*2.5+'Pop Cibles'!AN15*3</f>
        <v>840687.57038499985</v>
      </c>
      <c r="AA15" s="22">
        <f>'Pop Cibles'!BB15*2.5+'Pop Cibles'!BC15*3</f>
        <v>863386.13478539488</v>
      </c>
      <c r="AB15" s="22">
        <f>'Pop Cibles'!BQ15*2.5+'Pop Cibles'!BR15*3</f>
        <v>886697.5604246005</v>
      </c>
      <c r="AC15" s="22">
        <f>'Pop Cibles'!N15*2</f>
        <v>7036.16</v>
      </c>
      <c r="AD15" s="22">
        <f>'Pop Cibles'!AC15*2</f>
        <v>7226.1363199999996</v>
      </c>
      <c r="AE15" s="22">
        <f>'Pop Cibles'!AR15*2</f>
        <v>7421.2420006399998</v>
      </c>
      <c r="AF15" s="22">
        <f>'Pop Cibles'!BG15*2</f>
        <v>7621.6155346572796</v>
      </c>
      <c r="AG15" s="22">
        <f>'Pop Cibles'!BV15*2</f>
        <v>7827.3991540930256</v>
      </c>
      <c r="AH15" s="22">
        <f>'Pop Cibles'!O15*0.33</f>
        <v>10448.6976</v>
      </c>
      <c r="AI15" s="22">
        <f>'Pop Cibles'!AD15*0.33</f>
        <v>10730.8124352</v>
      </c>
      <c r="AJ15" s="22">
        <f>'Pop Cibles'!AS15*0.33</f>
        <v>11020.5443709504</v>
      </c>
      <c r="AK15" s="22">
        <f>'Pop Cibles'!BH15*0.33</f>
        <v>11318.099068966061</v>
      </c>
      <c r="AL15" s="22">
        <f>'Pop Cibles'!BW15*0.33</f>
        <v>11623.687743828144</v>
      </c>
      <c r="AM15" s="22">
        <f>('Pop Cibles'!P15+'Pop Cibles'!Q15)*3</f>
        <v>422169.59999999998</v>
      </c>
      <c r="AN15" s="22">
        <f>('Pop Cibles'!AE15+'Pop Cibles'!AF15)*3</f>
        <v>433568.17919999996</v>
      </c>
      <c r="AO15" s="22">
        <f>('Pop Cibles'!AT15+'Pop Cibles'!AU15)*3</f>
        <v>445274.52003839996</v>
      </c>
      <c r="AP15" s="22">
        <f>('Pop Cibles'!BI15+'Pop Cibles'!BJ15)*3</f>
        <v>457296.93207943672</v>
      </c>
      <c r="AQ15" s="22">
        <f>('Pop Cibles'!BY15+'Pop Cibles'!BY15)*3</f>
        <v>645760.43021267455</v>
      </c>
    </row>
    <row r="16" spans="1:43" s="5" customFormat="1" ht="12" customHeight="1">
      <c r="A16" s="19">
        <v>13</v>
      </c>
      <c r="B16" s="20" t="str">
        <f>'Pop Cibles'!B16</f>
        <v>FARANAH</v>
      </c>
      <c r="C16" s="21" t="str">
        <f>Population!C16</f>
        <v>Faranah</v>
      </c>
      <c r="D16" s="22">
        <f>IF(SUM('Plan annuel Différentes Maladie'!K$4:K$996)&gt;0,(MAX('Pop Cibles'!E16,'Pop Cibles'!G16)+MAX('Pop Cibles'!F16,'Pop Cibles'!H16))*2.8,0)</f>
        <v>673545.59999999986</v>
      </c>
      <c r="E16" s="22">
        <f>IF(SUM('Plan annuel Différentes Maladie'!K$4:K$996)&gt;0,(MAX('Pop Cibles'!T16,'Pop Cibles'!V16)+MAX('Pop Cibles'!U16,'Pop Cibles'!W16))*2.8,0)</f>
        <v>691731.33119999978</v>
      </c>
      <c r="F16" s="22">
        <f>IF(SUM('Plan annuel Différentes Maladie'!K$4:K$996)&gt;0,(MAX('Pop Cibles'!AI16,'Pop Cibles'!AK16)+MAX('Pop Cibles'!AJ16,'Pop Cibles'!AL16))*2.8,0)</f>
        <v>710408.07714239962</v>
      </c>
      <c r="G16" s="22">
        <f>IF(SUM('Plan annuel Différentes Maladie'!K$4:K$996)&gt;0,(MAX('Pop Cibles'!AX16,'Pop Cibles'!AZ16)+MAX('Pop Cibles'!AY16,'Pop Cibles'!BA16))*2.8,0)</f>
        <v>729589.09522524441</v>
      </c>
      <c r="H16" s="22">
        <f>IF(SUM('Plan annuel Différentes Maladie'!K$4:K$996)&gt;0,(MAX('Pop Cibles'!BM16,'Pop Cibles'!BO16)+MAX('Pop Cibles'!BN16,'Pop Cibles'!BP16))*2.8,0)</f>
        <v>749288.00079632585</v>
      </c>
      <c r="I16" s="22">
        <f>IF(SUM('Plan annuel Différentes Maladie'!K$4:K$996)=0,('Pop Cibles'!D16+'Pop Cibles'!E16+'Pop Cibles'!F16)*2.5,0)</f>
        <v>0</v>
      </c>
      <c r="J16" s="22">
        <f>IF(SUM('Plan annuel Différentes Maladie'!K$4:K$996)=0,('Pop Cibles'!S16+'Pop Cibles'!T16+'Pop Cibles'!U16)*2.5,0)</f>
        <v>0</v>
      </c>
      <c r="K16" s="22">
        <f>IF(SUM('Plan annuel Différentes Maladie'!K$4:K$996)=0,('Pop Cibles'!AH16+'Pop Cibles'!AI16+'Pop Cibles'!AJ16)*2.5,0)</f>
        <v>0</v>
      </c>
      <c r="L16" s="22">
        <f>IF(SUM('Plan annuel Différentes Maladie'!K$4:K$996)=0,('Pop Cibles'!AW16+'Pop Cibles'!AX16+'Pop Cibles'!AY16)*2.5,0)</f>
        <v>0</v>
      </c>
      <c r="M16" s="22">
        <f>IF(SUM('Plan annuel Différentes Maladie'!K$4:K$996)=0,('Pop Cibles'!BL16+'Pop Cibles'!BM16+'Pop Cibles'!BN16)*2.5,0)</f>
        <v>0</v>
      </c>
      <c r="N16" s="22">
        <f>'Pop Cibles'!D16+'Pop Cibles'!E16+'Pop Cibles'!F16</f>
        <v>240551.99999999997</v>
      </c>
      <c r="O16" s="22">
        <f>'Pop Cibles'!S16+'Pop Cibles'!T16+'Pop Cibles'!U16</f>
        <v>247046.90399999992</v>
      </c>
      <c r="P16" s="22">
        <f>'Pop Cibles'!AH16+'Pop Cibles'!AI16+'Pop Cibles'!AJ16</f>
        <v>253717.17040799989</v>
      </c>
      <c r="Q16" s="22">
        <f>'Pop Cibles'!AW16+'Pop Cibles'!AX16+'Pop Cibles'!AY16</f>
        <v>260567.53400901589</v>
      </c>
      <c r="R16" s="22">
        <f>'Pop Cibles'!BL16+'Pop Cibles'!BM16+'Pop Cibles'!BN16</f>
        <v>267602.85742725927</v>
      </c>
      <c r="S16" s="22">
        <f>IF('Pop Cibles'!D16&lt;'Pop Cibles'!K16,'Pop Cibles'!K16,0)+IF('Pop Cibles'!E16&lt;'Pop Cibles'!L16,'Pop Cibles'!L16,0)+IF('Pop Cibles'!F16&lt;'Pop Cibles'!M16,'Pop Cibles'!M16,0)</f>
        <v>363834.9</v>
      </c>
      <c r="T16" s="22">
        <f>IF('Pop Cibles'!S16&lt;'Pop Cibles'!Z16,'Pop Cibles'!Z16,0)+IF('Pop Cibles'!T16&lt;'Pop Cibles'!AA16,'Pop Cibles'!AA16,0)+IF('Pop Cibles'!U16&lt;'Pop Cibles'!AB16,'Pop Cibles'!AB16,0)</f>
        <v>296456.28479999996</v>
      </c>
      <c r="U16" s="22">
        <f>IF('Pop Cibles'!AH16&lt;'Pop Cibles'!AO16,'Pop Cibles'!AO16,0)+IF('Pop Cibles'!AI16&lt;'Pop Cibles'!AP16,'Pop Cibles'!AP16,0)+IF('Pop Cibles'!AJ16&lt;'Pop Cibles'!AQ16,'Pop Cibles'!AQ16,0)</f>
        <v>304460.60448959994</v>
      </c>
      <c r="V16" s="22">
        <f>IF('Pop Cibles'!AW16&lt;'Pop Cibles'!BD16,'Pop Cibles'!BD16,0)+IF('Pop Cibles'!AX16&lt;'Pop Cibles'!BE16,'Pop Cibles'!BE16,0)+IF('Pop Cibles'!AY16&lt;'Pop Cibles'!BF16,'Pop Cibles'!BF16,0)</f>
        <v>312681.04081081907</v>
      </c>
      <c r="W16" s="22">
        <f>IF('Pop Cibles'!BL16&lt;'Pop Cibles'!BS16,'Pop Cibles'!BS16,0)+IF('Pop Cibles'!BM16&lt;'Pop Cibles'!BT16,'Pop Cibles'!BT16,0)+IF('Pop Cibles'!BN16&lt;'Pop Cibles'!BU16,'Pop Cibles'!BU16,0)</f>
        <v>321123.42891271121</v>
      </c>
      <c r="X16" s="22">
        <f>'Pop Cibles'!I16*2.5+'Pop Cibles'!J16*3</f>
        <v>1090001.25</v>
      </c>
      <c r="Y16" s="22">
        <f>'Pop Cibles'!X16*2.5+'Pop Cibles'!Y16*3</f>
        <v>1119431.2837499999</v>
      </c>
      <c r="Z16" s="22">
        <f>'Pop Cibles'!AM16*2.5+'Pop Cibles'!AN16*3</f>
        <v>1149655.9284112495</v>
      </c>
      <c r="AA16" s="22">
        <f>'Pop Cibles'!BB16*2.5+'Pop Cibles'!BC16*3</f>
        <v>1180696.6384783532</v>
      </c>
      <c r="AB16" s="22">
        <f>'Pop Cibles'!BQ16*2.5+'Pop Cibles'!BR16*3</f>
        <v>1212575.4477172687</v>
      </c>
      <c r="AC16" s="22">
        <f>'Pop Cibles'!N16*2</f>
        <v>9622.08</v>
      </c>
      <c r="AD16" s="22">
        <f>'Pop Cibles'!AC16*2</f>
        <v>9881.8761599999998</v>
      </c>
      <c r="AE16" s="22">
        <f>'Pop Cibles'!AR16*2</f>
        <v>10148.686816319998</v>
      </c>
      <c r="AF16" s="22">
        <f>'Pop Cibles'!BG16*2</f>
        <v>10422.701360360637</v>
      </c>
      <c r="AG16" s="22">
        <f>'Pop Cibles'!BV16*2</f>
        <v>10704.114297090373</v>
      </c>
      <c r="AH16" s="22">
        <f>'Pop Cibles'!O16*0.33</f>
        <v>14288.7888</v>
      </c>
      <c r="AI16" s="22">
        <f>'Pop Cibles'!AD16*0.33</f>
        <v>14674.586097599999</v>
      </c>
      <c r="AJ16" s="22">
        <f>'Pop Cibles'!AS16*0.33</f>
        <v>15070.799922235197</v>
      </c>
      <c r="AK16" s="22">
        <f>'Pop Cibles'!BH16*0.33</f>
        <v>15477.711520135546</v>
      </c>
      <c r="AL16" s="22">
        <f>'Pop Cibles'!BW16*0.33</f>
        <v>15895.609731179205</v>
      </c>
      <c r="AM16" s="22">
        <f>('Pop Cibles'!P16+'Pop Cibles'!Q16)*3</f>
        <v>577324.79999999993</v>
      </c>
      <c r="AN16" s="22">
        <f>('Pop Cibles'!AE16+'Pop Cibles'!AF16)*3</f>
        <v>592912.56959999993</v>
      </c>
      <c r="AO16" s="22">
        <f>('Pop Cibles'!AT16+'Pop Cibles'!AU16)*3</f>
        <v>608921.20897919987</v>
      </c>
      <c r="AP16" s="22">
        <f>('Pop Cibles'!BI16+'Pop Cibles'!BJ16)*3</f>
        <v>625362.08162163803</v>
      </c>
      <c r="AQ16" s="22">
        <f>('Pop Cibles'!BY16+'Pop Cibles'!BY16)*3</f>
        <v>883089.42950995569</v>
      </c>
    </row>
    <row r="17" spans="1:43" s="5" customFormat="1" ht="12" customHeight="1">
      <c r="A17" s="19">
        <v>14</v>
      </c>
      <c r="B17" s="20" t="str">
        <f>'Pop Cibles'!B17</f>
        <v>FARANAH</v>
      </c>
      <c r="C17" s="21" t="str">
        <f>Population!C17</f>
        <v>Kissidougou</v>
      </c>
      <c r="D17" s="22">
        <f>IF(SUM('Plan annuel Différentes Maladie'!K$4:K$996)&gt;0,(MAX('Pop Cibles'!E17,'Pop Cibles'!G17)+MAX('Pop Cibles'!F17,'Pop Cibles'!H17))*2.8,0)</f>
        <v>672250.87999999989</v>
      </c>
      <c r="E17" s="22">
        <f>IF(SUM('Plan annuel Différentes Maladie'!K$4:K$996)&gt;0,(MAX('Pop Cibles'!T17,'Pop Cibles'!V17)+MAX('Pop Cibles'!U17,'Pop Cibles'!W17))*2.8,0)</f>
        <v>690401.65375999978</v>
      </c>
      <c r="F17" s="22">
        <f>IF(SUM('Plan annuel Différentes Maladie'!K$4:K$996)&gt;0,(MAX('Pop Cibles'!AI17,'Pop Cibles'!AK17)+MAX('Pop Cibles'!AJ17,'Pop Cibles'!AL17))*2.8,0)</f>
        <v>709042.4984115198</v>
      </c>
      <c r="G17" s="22">
        <f>IF(SUM('Plan annuel Différentes Maladie'!K$4:K$996)&gt;0,(MAX('Pop Cibles'!AX17,'Pop Cibles'!AZ17)+MAX('Pop Cibles'!AY17,'Pop Cibles'!BA17))*2.8,0)</f>
        <v>728186.64586863061</v>
      </c>
      <c r="H17" s="22">
        <f>IF(SUM('Plan annuel Différentes Maladie'!K$4:K$996)&gt;0,(MAX('Pop Cibles'!BM17,'Pop Cibles'!BO17)+MAX('Pop Cibles'!BN17,'Pop Cibles'!BP17))*2.8,0)</f>
        <v>747847.68530708377</v>
      </c>
      <c r="I17" s="22">
        <f>IF(SUM('Plan annuel Différentes Maladie'!K$4:K$996)=0,('Pop Cibles'!D17+'Pop Cibles'!E17+'Pop Cibles'!F17)*2.5,0)</f>
        <v>0</v>
      </c>
      <c r="J17" s="22">
        <f>IF(SUM('Plan annuel Différentes Maladie'!K$4:K$996)=0,('Pop Cibles'!S17+'Pop Cibles'!T17+'Pop Cibles'!U17)*2.5,0)</f>
        <v>0</v>
      </c>
      <c r="K17" s="22">
        <f>IF(SUM('Plan annuel Différentes Maladie'!K$4:K$996)=0,('Pop Cibles'!AH17+'Pop Cibles'!AI17+'Pop Cibles'!AJ17)*2.5,0)</f>
        <v>0</v>
      </c>
      <c r="L17" s="22">
        <f>IF(SUM('Plan annuel Différentes Maladie'!K$4:K$996)=0,('Pop Cibles'!AW17+'Pop Cibles'!AX17+'Pop Cibles'!AY17)*2.5,0)</f>
        <v>0</v>
      </c>
      <c r="M17" s="22">
        <f>IF(SUM('Plan annuel Différentes Maladie'!K$4:K$996)=0,('Pop Cibles'!BL17+'Pop Cibles'!BM17+'Pop Cibles'!BN17)*2.5,0)</f>
        <v>0</v>
      </c>
      <c r="N17" s="22">
        <f>'Pop Cibles'!D17+'Pop Cibles'!E17+'Pop Cibles'!F17</f>
        <v>240089.59999999998</v>
      </c>
      <c r="O17" s="22">
        <f>'Pop Cibles'!S17+'Pop Cibles'!T17+'Pop Cibles'!U17</f>
        <v>246572.01919999995</v>
      </c>
      <c r="P17" s="22">
        <f>'Pop Cibles'!AH17+'Pop Cibles'!AI17+'Pop Cibles'!AJ17</f>
        <v>253229.46371839993</v>
      </c>
      <c r="Q17" s="22">
        <f>'Pop Cibles'!AW17+'Pop Cibles'!AX17+'Pop Cibles'!AY17</f>
        <v>260066.65923879668</v>
      </c>
      <c r="R17" s="22">
        <f>'Pop Cibles'!BL17+'Pop Cibles'!BM17+'Pop Cibles'!BN17</f>
        <v>267088.45903824421</v>
      </c>
      <c r="S17" s="22">
        <f>IF('Pop Cibles'!D17&lt;'Pop Cibles'!K17,'Pop Cibles'!K17,0)+IF('Pop Cibles'!E17&lt;'Pop Cibles'!L17,'Pop Cibles'!L17,0)+IF('Pop Cibles'!F17&lt;'Pop Cibles'!M17,'Pop Cibles'!M17,0)</f>
        <v>363135.52</v>
      </c>
      <c r="T17" s="22">
        <f>IF('Pop Cibles'!S17&lt;'Pop Cibles'!Z17,'Pop Cibles'!Z17,0)+IF('Pop Cibles'!T17&lt;'Pop Cibles'!AA17,'Pop Cibles'!AA17,0)+IF('Pop Cibles'!U17&lt;'Pop Cibles'!AB17,'Pop Cibles'!AB17,0)</f>
        <v>295886.42303999997</v>
      </c>
      <c r="U17" s="22">
        <f>IF('Pop Cibles'!AH17&lt;'Pop Cibles'!AO17,'Pop Cibles'!AO17,0)+IF('Pop Cibles'!AI17&lt;'Pop Cibles'!AP17,'Pop Cibles'!AP17,0)+IF('Pop Cibles'!AJ17&lt;'Pop Cibles'!AQ17,'Pop Cibles'!AQ17,0)</f>
        <v>303875.35646207997</v>
      </c>
      <c r="V17" s="22">
        <f>IF('Pop Cibles'!AW17&lt;'Pop Cibles'!BD17,'Pop Cibles'!BD17,0)+IF('Pop Cibles'!AX17&lt;'Pop Cibles'!BE17,'Pop Cibles'!BE17,0)+IF('Pop Cibles'!AY17&lt;'Pop Cibles'!BF17,'Pop Cibles'!BF17,0)</f>
        <v>312079.99108655611</v>
      </c>
      <c r="W17" s="22">
        <f>IF('Pop Cibles'!BL17&lt;'Pop Cibles'!BS17,'Pop Cibles'!BS17,0)+IF('Pop Cibles'!BM17&lt;'Pop Cibles'!BT17,'Pop Cibles'!BT17,0)+IF('Pop Cibles'!BN17&lt;'Pop Cibles'!BU17,'Pop Cibles'!BU17,0)</f>
        <v>320506.15084589308</v>
      </c>
      <c r="X17" s="22">
        <f>'Pop Cibles'!I17*2.5+'Pop Cibles'!J17*3</f>
        <v>1087906</v>
      </c>
      <c r="Y17" s="22">
        <f>'Pop Cibles'!X17*2.5+'Pop Cibles'!Y17*3</f>
        <v>1117279.4619999998</v>
      </c>
      <c r="Z17" s="22">
        <f>'Pop Cibles'!AM17*2.5+'Pop Cibles'!AN17*3</f>
        <v>1147446.0074739999</v>
      </c>
      <c r="AA17" s="22">
        <f>'Pop Cibles'!BB17*2.5+'Pop Cibles'!BC17*3</f>
        <v>1178427.0496757978</v>
      </c>
      <c r="AB17" s="22">
        <f>'Pop Cibles'!BQ17*2.5+'Pop Cibles'!BR17*3</f>
        <v>1210244.5800170442</v>
      </c>
      <c r="AC17" s="22">
        <f>'Pop Cibles'!N17*2</f>
        <v>9603.5840000000007</v>
      </c>
      <c r="AD17" s="22">
        <f>'Pop Cibles'!AC17*2</f>
        <v>9862.8807679999991</v>
      </c>
      <c r="AE17" s="22">
        <f>'Pop Cibles'!AR17*2</f>
        <v>10129.178548735999</v>
      </c>
      <c r="AF17" s="22">
        <f>'Pop Cibles'!BG17*2</f>
        <v>10402.666369551869</v>
      </c>
      <c r="AG17" s="22">
        <f>'Pop Cibles'!BV17*2</f>
        <v>10683.538361529769</v>
      </c>
      <c r="AH17" s="22">
        <f>'Pop Cibles'!O17*0.33</f>
        <v>14261.32224</v>
      </c>
      <c r="AI17" s="22">
        <f>'Pop Cibles'!AD17*0.33</f>
        <v>14646.377940480001</v>
      </c>
      <c r="AJ17" s="22">
        <f>'Pop Cibles'!AS17*0.33</f>
        <v>15041.830144872958</v>
      </c>
      <c r="AK17" s="22">
        <f>'Pop Cibles'!BH17*0.33</f>
        <v>15447.959558784525</v>
      </c>
      <c r="AL17" s="22">
        <f>'Pop Cibles'!BW17*0.33</f>
        <v>15865.054466871707</v>
      </c>
      <c r="AM17" s="22">
        <f>('Pop Cibles'!P17+'Pop Cibles'!Q17)*3</f>
        <v>576215.04000000004</v>
      </c>
      <c r="AN17" s="22">
        <f>('Pop Cibles'!AE17+'Pop Cibles'!AF17)*3</f>
        <v>591772.84607999993</v>
      </c>
      <c r="AO17" s="22">
        <f>('Pop Cibles'!AT17+'Pop Cibles'!AU17)*3</f>
        <v>607750.71292415983</v>
      </c>
      <c r="AP17" s="22">
        <f>('Pop Cibles'!BI17+'Pop Cibles'!BJ17)*3</f>
        <v>624159.9821731121</v>
      </c>
      <c r="AQ17" s="22">
        <f>('Pop Cibles'!BY17+'Pop Cibles'!BY17)*3</f>
        <v>881391.9148262057</v>
      </c>
    </row>
    <row r="18" spans="1:43" s="5" customFormat="1" ht="12" customHeight="1">
      <c r="A18" s="19">
        <v>15</v>
      </c>
      <c r="B18" s="20" t="str">
        <f>'Pop Cibles'!B18</f>
        <v>KANKAN</v>
      </c>
      <c r="C18" s="21" t="str">
        <f>Population!C18</f>
        <v>Kankan</v>
      </c>
      <c r="D18" s="22">
        <f>IF(SUM('Plan annuel Différentes Maladie'!K$4:K$996)&gt;0,(MAX('Pop Cibles'!E18,'Pop Cibles'!G18)+MAX('Pop Cibles'!F18,'Pop Cibles'!H18))*2.8,0)</f>
        <v>1182475.8399999999</v>
      </c>
      <c r="E18" s="22">
        <f>IF(SUM('Plan annuel Différentes Maladie'!K$4:K$996)&gt;0,(MAX('Pop Cibles'!T18,'Pop Cibles'!V18)+MAX('Pop Cibles'!U18,'Pop Cibles'!W18))*2.8,0)</f>
        <v>1214402.6876799997</v>
      </c>
      <c r="F18" s="22">
        <f>IF(SUM('Plan annuel Différentes Maladie'!K$4:K$996)&gt;0,(MAX('Pop Cibles'!AI18,'Pop Cibles'!AK18)+MAX('Pop Cibles'!AJ18,'Pop Cibles'!AL18))*2.8,0)</f>
        <v>1247191.5602473596</v>
      </c>
      <c r="G18" s="22">
        <f>IF(SUM('Plan annuel Différentes Maladie'!K$4:K$996)&gt;0,(MAX('Pop Cibles'!AX18,'Pop Cibles'!AZ18)+MAX('Pop Cibles'!AY18,'Pop Cibles'!BA18))*2.8,0)</f>
        <v>1280865.7323740383</v>
      </c>
      <c r="H18" s="22">
        <f>IF(SUM('Plan annuel Différentes Maladie'!K$4:K$996)&gt;0,(MAX('Pop Cibles'!BM18,'Pop Cibles'!BO18)+MAX('Pop Cibles'!BN18,'Pop Cibles'!BP18))*2.8,0)</f>
        <v>1315449.1071481374</v>
      </c>
      <c r="I18" s="22">
        <f>IF(SUM('Plan annuel Différentes Maladie'!K$4:K$996)=0,('Pop Cibles'!D18+'Pop Cibles'!E18+'Pop Cibles'!F18)*2.5,0)</f>
        <v>0</v>
      </c>
      <c r="J18" s="22">
        <f>IF(SUM('Plan annuel Différentes Maladie'!K$4:K$996)=0,('Pop Cibles'!S18+'Pop Cibles'!T18+'Pop Cibles'!U18)*2.5,0)</f>
        <v>0</v>
      </c>
      <c r="K18" s="22">
        <f>IF(SUM('Plan annuel Différentes Maladie'!K$4:K$996)=0,('Pop Cibles'!AH18+'Pop Cibles'!AI18+'Pop Cibles'!AJ18)*2.5,0)</f>
        <v>0</v>
      </c>
      <c r="L18" s="22">
        <f>IF(SUM('Plan annuel Différentes Maladie'!K$4:K$996)=0,('Pop Cibles'!AW18+'Pop Cibles'!AX18+'Pop Cibles'!AY18)*2.5,0)</f>
        <v>0</v>
      </c>
      <c r="M18" s="22">
        <f>IF(SUM('Plan annuel Différentes Maladie'!K$4:K$996)=0,('Pop Cibles'!BL18+'Pop Cibles'!BM18+'Pop Cibles'!BN18)*2.5,0)</f>
        <v>0</v>
      </c>
      <c r="N18" s="22">
        <f>'Pop Cibles'!D18+'Pop Cibles'!E18+'Pop Cibles'!F18</f>
        <v>422312.8</v>
      </c>
      <c r="O18" s="22">
        <f>'Pop Cibles'!S18+'Pop Cibles'!T18+'Pop Cibles'!U18</f>
        <v>433715.24559999991</v>
      </c>
      <c r="P18" s="22">
        <f>'Pop Cibles'!AH18+'Pop Cibles'!AI18+'Pop Cibles'!AJ18</f>
        <v>445425.55723119987</v>
      </c>
      <c r="Q18" s="22">
        <f>'Pop Cibles'!AW18+'Pop Cibles'!AX18+'Pop Cibles'!AY18</f>
        <v>457452.04727644229</v>
      </c>
      <c r="R18" s="22">
        <f>'Pop Cibles'!BL18+'Pop Cibles'!BM18+'Pop Cibles'!BN18</f>
        <v>469803.25255290623</v>
      </c>
      <c r="S18" s="22">
        <f>IF('Pop Cibles'!D18&lt;'Pop Cibles'!K18,'Pop Cibles'!K18,0)+IF('Pop Cibles'!E18&lt;'Pop Cibles'!L18,'Pop Cibles'!L18,0)+IF('Pop Cibles'!F18&lt;'Pop Cibles'!M18,'Pop Cibles'!M18,0)</f>
        <v>216435.31</v>
      </c>
      <c r="T18" s="22">
        <f>IF('Pop Cibles'!S18&lt;'Pop Cibles'!Z18,'Pop Cibles'!Z18,0)+IF('Pop Cibles'!T18&lt;'Pop Cibles'!AA18,'Pop Cibles'!AA18,0)+IF('Pop Cibles'!U18&lt;'Pop Cibles'!AB18,'Pop Cibles'!AB18,0)</f>
        <v>86743.049119999981</v>
      </c>
      <c r="U18" s="22">
        <f>IF('Pop Cibles'!AH18&lt;'Pop Cibles'!AO18,'Pop Cibles'!AO18,0)+IF('Pop Cibles'!AI18&lt;'Pop Cibles'!AP18,'Pop Cibles'!AP18,0)+IF('Pop Cibles'!AJ18&lt;'Pop Cibles'!AQ18,'Pop Cibles'!AQ18,0)</f>
        <v>89085.111446239986</v>
      </c>
      <c r="V18" s="22">
        <f>IF('Pop Cibles'!AW18&lt;'Pop Cibles'!BD18,'Pop Cibles'!BD18,0)+IF('Pop Cibles'!AX18&lt;'Pop Cibles'!BE18,'Pop Cibles'!BE18,0)+IF('Pop Cibles'!AY18&lt;'Pop Cibles'!BF18,'Pop Cibles'!BF18,0)</f>
        <v>91490.409455288464</v>
      </c>
      <c r="W18" s="22">
        <f>IF('Pop Cibles'!BL18&lt;'Pop Cibles'!BS18,'Pop Cibles'!BS18,0)+IF('Pop Cibles'!BM18&lt;'Pop Cibles'!BT18,'Pop Cibles'!BT18,0)+IF('Pop Cibles'!BN18&lt;'Pop Cibles'!BU18,'Pop Cibles'!BU18,0)</f>
        <v>93960.650510581254</v>
      </c>
      <c r="X18" s="22">
        <f>'Pop Cibles'!I18*2.5+'Pop Cibles'!J18*3</f>
        <v>329931.875</v>
      </c>
      <c r="Y18" s="22">
        <f>'Pop Cibles'!X18*2.5+'Pop Cibles'!Y18*3</f>
        <v>0</v>
      </c>
      <c r="Z18" s="22">
        <f>'Pop Cibles'!AM18*2.5+'Pop Cibles'!AN18*3</f>
        <v>347988.71658687491</v>
      </c>
      <c r="AA18" s="22">
        <f>'Pop Cibles'!BB18*2.5+'Pop Cibles'!BC18*3</f>
        <v>0</v>
      </c>
      <c r="AB18" s="22">
        <f>'Pop Cibles'!BQ18*2.5+'Pop Cibles'!BR18*3</f>
        <v>367033.79105695803</v>
      </c>
      <c r="AC18" s="22">
        <f>'Pop Cibles'!N18*2</f>
        <v>0</v>
      </c>
      <c r="AD18" s="22">
        <f>'Pop Cibles'!AC18*2</f>
        <v>0</v>
      </c>
      <c r="AE18" s="22">
        <f>'Pop Cibles'!AR18*2</f>
        <v>0</v>
      </c>
      <c r="AF18" s="22">
        <f>'Pop Cibles'!BG18*2</f>
        <v>0</v>
      </c>
      <c r="AG18" s="22">
        <f>'Pop Cibles'!BV18*2</f>
        <v>0</v>
      </c>
      <c r="AH18" s="22">
        <f>'Pop Cibles'!O18*0.33</f>
        <v>0</v>
      </c>
      <c r="AI18" s="22">
        <f>'Pop Cibles'!AD18*0.33</f>
        <v>0</v>
      </c>
      <c r="AJ18" s="22">
        <f>'Pop Cibles'!AS18*0.33</f>
        <v>0</v>
      </c>
      <c r="AK18" s="22">
        <f>'Pop Cibles'!BH18*0.33</f>
        <v>0</v>
      </c>
      <c r="AL18" s="22">
        <f>'Pop Cibles'!BW18*0.33</f>
        <v>0</v>
      </c>
      <c r="AM18" s="22">
        <f>('Pop Cibles'!P18+'Pop Cibles'!Q18)*3</f>
        <v>0</v>
      </c>
      <c r="AN18" s="22">
        <f>('Pop Cibles'!AE18+'Pop Cibles'!AF18)*3</f>
        <v>0</v>
      </c>
      <c r="AO18" s="22">
        <f>('Pop Cibles'!AT18+'Pop Cibles'!AU18)*3</f>
        <v>0</v>
      </c>
      <c r="AP18" s="22">
        <f>('Pop Cibles'!BI18+'Pop Cibles'!BJ18)*3</f>
        <v>0</v>
      </c>
      <c r="AQ18" s="22">
        <f>('Pop Cibles'!BY18+'Pop Cibles'!BY18)*3</f>
        <v>0</v>
      </c>
    </row>
    <row r="19" spans="1:43" s="5" customFormat="1" ht="12" customHeight="1">
      <c r="A19" s="19">
        <v>16</v>
      </c>
      <c r="B19" s="20" t="str">
        <f>'Pop Cibles'!B19</f>
        <v>KANKAN</v>
      </c>
      <c r="C19" s="21" t="str">
        <f>Population!C19</f>
        <v>Kérouané</v>
      </c>
      <c r="D19" s="22">
        <f>IF(SUM('Plan annuel Différentes Maladie'!K$4:K$996)&gt;0,(MAX('Pop Cibles'!E19,'Pop Cibles'!G19)+MAX('Pop Cibles'!F19,'Pop Cibles'!H19))*2.8,0)</f>
        <v>499439.35999999993</v>
      </c>
      <c r="E19" s="22">
        <f>IF(SUM('Plan annuel Différentes Maladie'!K$4:K$996)&gt;0,(MAX('Pop Cibles'!T19,'Pop Cibles'!V19)+MAX('Pop Cibles'!U19,'Pop Cibles'!W19))*2.8,0)</f>
        <v>512924.2227199999</v>
      </c>
      <c r="F19" s="22">
        <f>IF(SUM('Plan annuel Différentes Maladie'!K$4:K$996)&gt;0,(MAX('Pop Cibles'!AI19,'Pop Cibles'!AK19)+MAX('Pop Cibles'!AJ19,'Pop Cibles'!AL19))*2.8,0)</f>
        <v>526773.1767334399</v>
      </c>
      <c r="G19" s="22">
        <f>IF(SUM('Plan annuel Différentes Maladie'!K$4:K$996)&gt;0,(MAX('Pop Cibles'!AX19,'Pop Cibles'!AZ19)+MAX('Pop Cibles'!AY19,'Pop Cibles'!BA19))*2.8,0)</f>
        <v>540996.05250524275</v>
      </c>
      <c r="H19" s="22">
        <f>IF(SUM('Plan annuel Différentes Maladie'!K$4:K$996)&gt;0,(MAX('Pop Cibles'!BM19,'Pop Cibles'!BO19)+MAX('Pop Cibles'!BN19,'Pop Cibles'!BP19))*2.8,0)</f>
        <v>555602.94592288416</v>
      </c>
      <c r="I19" s="22">
        <f>IF(SUM('Plan annuel Différentes Maladie'!K$4:K$996)=0,('Pop Cibles'!D19+'Pop Cibles'!E19+'Pop Cibles'!F19)*2.5,0)</f>
        <v>0</v>
      </c>
      <c r="J19" s="22">
        <f>IF(SUM('Plan annuel Différentes Maladie'!K$4:K$996)=0,('Pop Cibles'!S19+'Pop Cibles'!T19+'Pop Cibles'!U19)*2.5,0)</f>
        <v>0</v>
      </c>
      <c r="K19" s="22">
        <f>IF(SUM('Plan annuel Différentes Maladie'!K$4:K$996)=0,('Pop Cibles'!AH19+'Pop Cibles'!AI19+'Pop Cibles'!AJ19)*2.5,0)</f>
        <v>0</v>
      </c>
      <c r="L19" s="22">
        <f>IF(SUM('Plan annuel Différentes Maladie'!K$4:K$996)=0,('Pop Cibles'!AW19+'Pop Cibles'!AX19+'Pop Cibles'!AY19)*2.5,0)</f>
        <v>0</v>
      </c>
      <c r="M19" s="22">
        <f>IF(SUM('Plan annuel Différentes Maladie'!K$4:K$996)=0,('Pop Cibles'!BL19+'Pop Cibles'!BM19+'Pop Cibles'!BN19)*2.5,0)</f>
        <v>0</v>
      </c>
      <c r="N19" s="22">
        <f>'Pop Cibles'!D19+'Pop Cibles'!E19+'Pop Cibles'!F19</f>
        <v>178371.19999999998</v>
      </c>
      <c r="O19" s="22">
        <f>'Pop Cibles'!S19+'Pop Cibles'!T19+'Pop Cibles'!U19</f>
        <v>183187.22239999997</v>
      </c>
      <c r="P19" s="22">
        <f>'Pop Cibles'!AH19+'Pop Cibles'!AI19+'Pop Cibles'!AJ19</f>
        <v>188133.27740479997</v>
      </c>
      <c r="Q19" s="22">
        <f>'Pop Cibles'!AW19+'Pop Cibles'!AX19+'Pop Cibles'!AY19</f>
        <v>193212.87589472957</v>
      </c>
      <c r="R19" s="22">
        <f>'Pop Cibles'!BL19+'Pop Cibles'!BM19+'Pop Cibles'!BN19</f>
        <v>198429.62354388722</v>
      </c>
      <c r="S19" s="22">
        <f>IF('Pop Cibles'!D19&lt;'Pop Cibles'!K19,'Pop Cibles'!K19,0)+IF('Pop Cibles'!E19&lt;'Pop Cibles'!L19,'Pop Cibles'!L19,0)+IF('Pop Cibles'!F19&lt;'Pop Cibles'!M19,'Pop Cibles'!M19,0)</f>
        <v>269786.44</v>
      </c>
      <c r="T19" s="22">
        <f>IF('Pop Cibles'!S19&lt;'Pop Cibles'!Z19,'Pop Cibles'!Z19,0)+IF('Pop Cibles'!T19&lt;'Pop Cibles'!AA19,'Pop Cibles'!AA19,0)+IF('Pop Cibles'!U19&lt;'Pop Cibles'!AB19,'Pop Cibles'!AB19,0)</f>
        <v>219824.66688</v>
      </c>
      <c r="U19" s="22">
        <f>IF('Pop Cibles'!AH19&lt;'Pop Cibles'!AO19,'Pop Cibles'!AO19,0)+IF('Pop Cibles'!AI19&lt;'Pop Cibles'!AP19,'Pop Cibles'!AP19,0)+IF('Pop Cibles'!AJ19&lt;'Pop Cibles'!AQ19,'Pop Cibles'!AQ19,0)</f>
        <v>225759.93288575998</v>
      </c>
      <c r="V19" s="22">
        <f>IF('Pop Cibles'!AW19&lt;'Pop Cibles'!BD19,'Pop Cibles'!BD19,0)+IF('Pop Cibles'!AX19&lt;'Pop Cibles'!BE19,'Pop Cibles'!BE19,0)+IF('Pop Cibles'!AY19&lt;'Pop Cibles'!BF19,'Pop Cibles'!BF19,0)</f>
        <v>231855.45107367545</v>
      </c>
      <c r="W19" s="22">
        <f>IF('Pop Cibles'!BL19&lt;'Pop Cibles'!BS19,'Pop Cibles'!BS19,0)+IF('Pop Cibles'!BM19&lt;'Pop Cibles'!BT19,'Pop Cibles'!BT19,0)+IF('Pop Cibles'!BN19&lt;'Pop Cibles'!BU19,'Pop Cibles'!BU19,0)</f>
        <v>238115.54825266468</v>
      </c>
      <c r="X19" s="22">
        <f>'Pop Cibles'!I19*2.5+'Pop Cibles'!J19*3</f>
        <v>139352.5</v>
      </c>
      <c r="Y19" s="22">
        <f>'Pop Cibles'!X19*2.5+'Pop Cibles'!Y19*3</f>
        <v>143115.01749999999</v>
      </c>
      <c r="Z19" s="22">
        <f>'Pop Cibles'!AM19*2.5+'Pop Cibles'!AN19*3</f>
        <v>146979.12297249999</v>
      </c>
      <c r="AA19" s="22">
        <f>'Pop Cibles'!BB19*2.5+'Pop Cibles'!BC19*3</f>
        <v>150947.55929275748</v>
      </c>
      <c r="AB19" s="22">
        <f>'Pop Cibles'!BQ19*2.5+'Pop Cibles'!BR19*3</f>
        <v>155023.14339366191</v>
      </c>
      <c r="AC19" s="22">
        <f>'Pop Cibles'!N19*2</f>
        <v>0</v>
      </c>
      <c r="AD19" s="22">
        <f>'Pop Cibles'!AC19*2</f>
        <v>0</v>
      </c>
      <c r="AE19" s="22">
        <f>'Pop Cibles'!AR19*2</f>
        <v>0</v>
      </c>
      <c r="AF19" s="22">
        <f>'Pop Cibles'!BG19*2</f>
        <v>0</v>
      </c>
      <c r="AG19" s="22">
        <f>'Pop Cibles'!BV19*2</f>
        <v>0</v>
      </c>
      <c r="AH19" s="22">
        <f>'Pop Cibles'!O19*0.33</f>
        <v>0</v>
      </c>
      <c r="AI19" s="22">
        <f>'Pop Cibles'!AD19*0.33</f>
        <v>0</v>
      </c>
      <c r="AJ19" s="22">
        <f>'Pop Cibles'!AS19*0.33</f>
        <v>0</v>
      </c>
      <c r="AK19" s="22">
        <f>'Pop Cibles'!BH19*0.33</f>
        <v>0</v>
      </c>
      <c r="AL19" s="22">
        <f>'Pop Cibles'!BW19*0.33</f>
        <v>0</v>
      </c>
      <c r="AM19" s="22">
        <f>('Pop Cibles'!P19+'Pop Cibles'!Q19)*3</f>
        <v>0</v>
      </c>
      <c r="AN19" s="22">
        <f>('Pop Cibles'!AE19+'Pop Cibles'!AF19)*3</f>
        <v>0</v>
      </c>
      <c r="AO19" s="22">
        <f>('Pop Cibles'!AT19+'Pop Cibles'!AU19)*3</f>
        <v>0</v>
      </c>
      <c r="AP19" s="22">
        <f>('Pop Cibles'!BI19+'Pop Cibles'!BJ19)*3</f>
        <v>0</v>
      </c>
      <c r="AQ19" s="22">
        <f>('Pop Cibles'!BY19+'Pop Cibles'!BY19)*3</f>
        <v>0</v>
      </c>
    </row>
    <row r="20" spans="1:43" s="5" customFormat="1" ht="12" customHeight="1">
      <c r="A20" s="19">
        <v>17</v>
      </c>
      <c r="B20" s="20" t="str">
        <f>'Pop Cibles'!B20</f>
        <v>KANKAN</v>
      </c>
      <c r="C20" s="21" t="str">
        <f>Population!C20</f>
        <v>Kouroussa</v>
      </c>
      <c r="D20" s="22">
        <f>IF(SUM('Plan annuel Différentes Maladie'!K$4:K$996)&gt;0,(MAX('Pop Cibles'!E20,'Pop Cibles'!G20)+MAX('Pop Cibles'!F20,'Pop Cibles'!H20))*2.8,0)</f>
        <v>721732.47999999986</v>
      </c>
      <c r="E20" s="22">
        <f>IF(SUM('Plan annuel Différentes Maladie'!K$4:K$996)&gt;0,(MAX('Pop Cibles'!T20,'Pop Cibles'!V20)+MAX('Pop Cibles'!U20,'Pop Cibles'!W20))*2.8,0)</f>
        <v>741219.2569599998</v>
      </c>
      <c r="F20" s="22">
        <f>IF(SUM('Plan annuel Différentes Maladie'!K$4:K$996)&gt;0,(MAX('Pop Cibles'!AI20,'Pop Cibles'!AK20)+MAX('Pop Cibles'!AJ20,'Pop Cibles'!AL20))*2.8,0)</f>
        <v>761232.17689791974</v>
      </c>
      <c r="G20" s="22">
        <f>IF(SUM('Plan annuel Différentes Maladie'!K$4:K$996)&gt;0,(MAX('Pop Cibles'!AX20,'Pop Cibles'!AZ20)+MAX('Pop Cibles'!AY20,'Pop Cibles'!BA20))*2.8,0)</f>
        <v>781785.44567416352</v>
      </c>
      <c r="H20" s="22">
        <f>IF(SUM('Plan annuel Différentes Maladie'!K$4:K$996)&gt;0,(MAX('Pop Cibles'!BM20,'Pop Cibles'!BO20)+MAX('Pop Cibles'!BN20,'Pop Cibles'!BP20))*2.8,0)</f>
        <v>802893.65270736592</v>
      </c>
      <c r="I20" s="22">
        <f>IF(SUM('Plan annuel Différentes Maladie'!K$4:K$996)=0,('Pop Cibles'!D20+'Pop Cibles'!E20+'Pop Cibles'!F20)*2.5,0)</f>
        <v>0</v>
      </c>
      <c r="J20" s="22">
        <f>IF(SUM('Plan annuel Différentes Maladie'!K$4:K$996)=0,('Pop Cibles'!S20+'Pop Cibles'!T20+'Pop Cibles'!U20)*2.5,0)</f>
        <v>0</v>
      </c>
      <c r="K20" s="22">
        <f>IF(SUM('Plan annuel Différentes Maladie'!K$4:K$996)=0,('Pop Cibles'!AH20+'Pop Cibles'!AI20+'Pop Cibles'!AJ20)*2.5,0)</f>
        <v>0</v>
      </c>
      <c r="L20" s="22">
        <f>IF(SUM('Plan annuel Différentes Maladie'!K$4:K$996)=0,('Pop Cibles'!AW20+'Pop Cibles'!AX20+'Pop Cibles'!AY20)*2.5,0)</f>
        <v>0</v>
      </c>
      <c r="M20" s="22">
        <f>IF(SUM('Plan annuel Différentes Maladie'!K$4:K$996)=0,('Pop Cibles'!BL20+'Pop Cibles'!BM20+'Pop Cibles'!BN20)*2.5,0)</f>
        <v>0</v>
      </c>
      <c r="N20" s="22">
        <f>'Pop Cibles'!D20+'Pop Cibles'!E20+'Pop Cibles'!F20</f>
        <v>257761.59999999998</v>
      </c>
      <c r="O20" s="22">
        <f>'Pop Cibles'!S20+'Pop Cibles'!T20+'Pop Cibles'!U20</f>
        <v>264721.16319999995</v>
      </c>
      <c r="P20" s="22">
        <f>'Pop Cibles'!AH20+'Pop Cibles'!AI20+'Pop Cibles'!AJ20</f>
        <v>271868.63460639992</v>
      </c>
      <c r="Q20" s="22">
        <f>'Pop Cibles'!AW20+'Pop Cibles'!AX20+'Pop Cibles'!AY20</f>
        <v>279209.08774077269</v>
      </c>
      <c r="R20" s="22">
        <f>'Pop Cibles'!BL20+'Pop Cibles'!BM20+'Pop Cibles'!BN20</f>
        <v>286747.73310977354</v>
      </c>
      <c r="S20" s="22">
        <f>IF('Pop Cibles'!D20&lt;'Pop Cibles'!K20,'Pop Cibles'!K20,0)+IF('Pop Cibles'!E20&lt;'Pop Cibles'!L20,'Pop Cibles'!L20,0)+IF('Pop Cibles'!F20&lt;'Pop Cibles'!M20,'Pop Cibles'!M20,0)</f>
        <v>0</v>
      </c>
      <c r="T20" s="22">
        <f>IF('Pop Cibles'!S20&lt;'Pop Cibles'!Z20,'Pop Cibles'!Z20,0)+IF('Pop Cibles'!T20&lt;'Pop Cibles'!AA20,'Pop Cibles'!AA20,0)+IF('Pop Cibles'!U20&lt;'Pop Cibles'!AB20,'Pop Cibles'!AB20,0)</f>
        <v>52944.232639999995</v>
      </c>
      <c r="U20" s="22">
        <f>IF('Pop Cibles'!AH20&lt;'Pop Cibles'!AO20,'Pop Cibles'!AO20,0)+IF('Pop Cibles'!AI20&lt;'Pop Cibles'!AP20,'Pop Cibles'!AP20,0)+IF('Pop Cibles'!AJ20&lt;'Pop Cibles'!AQ20,'Pop Cibles'!AQ20,0)</f>
        <v>54373.726921279987</v>
      </c>
      <c r="V20" s="22">
        <f>IF('Pop Cibles'!AW20&lt;'Pop Cibles'!BD20,'Pop Cibles'!BD20,0)+IF('Pop Cibles'!AX20&lt;'Pop Cibles'!BE20,'Pop Cibles'!BE20,0)+IF('Pop Cibles'!AY20&lt;'Pop Cibles'!BF20,'Pop Cibles'!BF20,0)</f>
        <v>55841.817548154548</v>
      </c>
      <c r="W20" s="22">
        <f>IF('Pop Cibles'!BL20&lt;'Pop Cibles'!BS20,'Pop Cibles'!BS20,0)+IF('Pop Cibles'!BM20&lt;'Pop Cibles'!BT20,'Pop Cibles'!BT20,0)+IF('Pop Cibles'!BN20&lt;'Pop Cibles'!BU20,'Pop Cibles'!BU20,0)</f>
        <v>57349.546621954709</v>
      </c>
      <c r="X20" s="22">
        <f>'Pop Cibles'!I20*2.5+'Pop Cibles'!J20*3</f>
        <v>1167982.25</v>
      </c>
      <c r="Y20" s="22">
        <f>'Pop Cibles'!X20*2.5+'Pop Cibles'!Y20*3</f>
        <v>0</v>
      </c>
      <c r="Z20" s="22">
        <f>'Pop Cibles'!AM20*2.5+'Pop Cibles'!AN20*3</f>
        <v>1231904.7505602497</v>
      </c>
      <c r="AA20" s="22">
        <f>'Pop Cibles'!BB20*2.5+'Pop Cibles'!BC20*3</f>
        <v>0</v>
      </c>
      <c r="AB20" s="22">
        <f>'Pop Cibles'!BQ20*2.5+'Pop Cibles'!BR20*3</f>
        <v>1299325.6656536614</v>
      </c>
      <c r="AC20" s="22">
        <f>'Pop Cibles'!N20*2</f>
        <v>10310.464</v>
      </c>
      <c r="AD20" s="22">
        <f>'Pop Cibles'!AC20*2</f>
        <v>10588.846528</v>
      </c>
      <c r="AE20" s="22">
        <f>'Pop Cibles'!AR20*2</f>
        <v>10874.745384255999</v>
      </c>
      <c r="AF20" s="22">
        <f>'Pop Cibles'!BG20*2</f>
        <v>11168.36350963091</v>
      </c>
      <c r="AG20" s="22">
        <f>'Pop Cibles'!BV20*2</f>
        <v>11469.909324390945</v>
      </c>
      <c r="AH20" s="22">
        <f>'Pop Cibles'!O20*0.33</f>
        <v>15311.03904</v>
      </c>
      <c r="AI20" s="22">
        <f>'Pop Cibles'!AD20*0.33</f>
        <v>15724.43709408</v>
      </c>
      <c r="AJ20" s="22">
        <f>'Pop Cibles'!AS20*0.33</f>
        <v>16148.996895620157</v>
      </c>
      <c r="AK20" s="22">
        <f>'Pop Cibles'!BH20*0.33</f>
        <v>16585.019811801903</v>
      </c>
      <c r="AL20" s="22">
        <f>'Pop Cibles'!BW20*0.33</f>
        <v>17032.815346720552</v>
      </c>
      <c r="AM20" s="22">
        <f>('Pop Cibles'!P20+'Pop Cibles'!Q20)*3</f>
        <v>618627.83999999985</v>
      </c>
      <c r="AN20" s="22">
        <f>('Pop Cibles'!AE20+'Pop Cibles'!AF20)*3</f>
        <v>635330.79168000002</v>
      </c>
      <c r="AO20" s="22">
        <f>('Pop Cibles'!AT20+'Pop Cibles'!AU20)*3</f>
        <v>652484.72305535991</v>
      </c>
      <c r="AP20" s="22">
        <f>('Pop Cibles'!BI20+'Pop Cibles'!BJ20)*3</f>
        <v>670101.81057785451</v>
      </c>
      <c r="AQ20" s="22">
        <f>('Pop Cibles'!BY20+'Pop Cibles'!BY20)*3</f>
        <v>946267.51926225284</v>
      </c>
    </row>
    <row r="21" spans="1:43" s="5" customFormat="1" ht="12" customHeight="1">
      <c r="A21" s="19">
        <v>18</v>
      </c>
      <c r="B21" s="20" t="str">
        <f>'Pop Cibles'!B21</f>
        <v>KANKAN</v>
      </c>
      <c r="C21" s="21" t="str">
        <f>Population!C21</f>
        <v>Mandiana</v>
      </c>
      <c r="D21" s="22">
        <f>IF(SUM('Plan annuel Différentes Maladie'!K$4:K$996)&gt;0,(MAX('Pop Cibles'!E21,'Pop Cibles'!G21)+MAX('Pop Cibles'!F21,'Pop Cibles'!H21))*2.8,0)</f>
        <v>867231.67999999993</v>
      </c>
      <c r="E21" s="22">
        <f>IF(SUM('Plan annuel Différentes Maladie'!K$4:K$996)&gt;0,(MAX('Pop Cibles'!T21,'Pop Cibles'!V21)+MAX('Pop Cibles'!U21,'Pop Cibles'!W21))*2.8,0)</f>
        <v>890646.93535999965</v>
      </c>
      <c r="F21" s="22">
        <f>IF(SUM('Plan annuel Différentes Maladie'!K$4:K$996)&gt;0,(MAX('Pop Cibles'!AI21,'Pop Cibles'!AK21)+MAX('Pop Cibles'!AJ21,'Pop Cibles'!AL21))*2.8,0)</f>
        <v>914694.4026147197</v>
      </c>
      <c r="G21" s="22">
        <f>IF(SUM('Plan annuel Différentes Maladie'!K$4:K$996)&gt;0,(MAX('Pop Cibles'!AX21,'Pop Cibles'!AZ21)+MAX('Pop Cibles'!AY21,'Pop Cibles'!BA21))*2.8,0)</f>
        <v>939391.15148531715</v>
      </c>
      <c r="H21" s="22">
        <f>IF(SUM('Plan annuel Différentes Maladie'!K$4:K$996)&gt;0,(MAX('Pop Cibles'!BM21,'Pop Cibles'!BO21)+MAX('Pop Cibles'!BN21,'Pop Cibles'!BP21))*2.8,0)</f>
        <v>964754.7125754205</v>
      </c>
      <c r="I21" s="22">
        <f>IF(SUM('Plan annuel Différentes Maladie'!K$4:K$996)=0,('Pop Cibles'!D21+'Pop Cibles'!E21+'Pop Cibles'!F21)*2.5,0)</f>
        <v>0</v>
      </c>
      <c r="J21" s="22">
        <f>IF(SUM('Plan annuel Différentes Maladie'!K$4:K$996)=0,('Pop Cibles'!S21+'Pop Cibles'!T21+'Pop Cibles'!U21)*2.5,0)</f>
        <v>0</v>
      </c>
      <c r="K21" s="22">
        <f>IF(SUM('Plan annuel Différentes Maladie'!K$4:K$996)=0,('Pop Cibles'!AH21+'Pop Cibles'!AI21+'Pop Cibles'!AJ21)*2.5,0)</f>
        <v>0</v>
      </c>
      <c r="L21" s="22">
        <f>IF(SUM('Plan annuel Différentes Maladie'!K$4:K$996)=0,('Pop Cibles'!AW21+'Pop Cibles'!AX21+'Pop Cibles'!AY21)*2.5,0)</f>
        <v>0</v>
      </c>
      <c r="M21" s="22">
        <f>IF(SUM('Plan annuel Différentes Maladie'!K$4:K$996)=0,('Pop Cibles'!BL21+'Pop Cibles'!BM21+'Pop Cibles'!BN21)*2.5,0)</f>
        <v>0</v>
      </c>
      <c r="N21" s="22">
        <f>'Pop Cibles'!D21+'Pop Cibles'!E21+'Pop Cibles'!F21</f>
        <v>309725.59999999998</v>
      </c>
      <c r="O21" s="22">
        <f>'Pop Cibles'!S21+'Pop Cibles'!T21+'Pop Cibles'!U21</f>
        <v>318088.19119999988</v>
      </c>
      <c r="P21" s="22">
        <f>'Pop Cibles'!AH21+'Pop Cibles'!AI21+'Pop Cibles'!AJ21</f>
        <v>326676.57236239989</v>
      </c>
      <c r="Q21" s="22">
        <f>'Pop Cibles'!AW21+'Pop Cibles'!AX21+'Pop Cibles'!AY21</f>
        <v>335496.83981618471</v>
      </c>
      <c r="R21" s="22">
        <f>'Pop Cibles'!BL21+'Pop Cibles'!BM21+'Pop Cibles'!BN21</f>
        <v>344555.25449122163</v>
      </c>
      <c r="S21" s="22">
        <f>IF('Pop Cibles'!D21&lt;'Pop Cibles'!K21,'Pop Cibles'!K21,0)+IF('Pop Cibles'!E21&lt;'Pop Cibles'!L21,'Pop Cibles'!L21,0)+IF('Pop Cibles'!F21&lt;'Pop Cibles'!M21,'Pop Cibles'!M21,0)</f>
        <v>158734.37</v>
      </c>
      <c r="T21" s="22">
        <f>IF('Pop Cibles'!S21&lt;'Pop Cibles'!Z21,'Pop Cibles'!Z21,0)+IF('Pop Cibles'!T21&lt;'Pop Cibles'!AA21,'Pop Cibles'!AA21,0)+IF('Pop Cibles'!U21&lt;'Pop Cibles'!AB21,'Pop Cibles'!AB21,0)</f>
        <v>63617.638239999993</v>
      </c>
      <c r="U21" s="22">
        <f>IF('Pop Cibles'!AH21&lt;'Pop Cibles'!AO21,'Pop Cibles'!AO21,0)+IF('Pop Cibles'!AI21&lt;'Pop Cibles'!AP21,'Pop Cibles'!AP21,0)+IF('Pop Cibles'!AJ21&lt;'Pop Cibles'!AQ21,'Pop Cibles'!AQ21,0)</f>
        <v>65335.314472479986</v>
      </c>
      <c r="V21" s="22">
        <f>IF('Pop Cibles'!AW21&lt;'Pop Cibles'!BD21,'Pop Cibles'!BD21,0)+IF('Pop Cibles'!AX21&lt;'Pop Cibles'!BE21,'Pop Cibles'!BE21,0)+IF('Pop Cibles'!AY21&lt;'Pop Cibles'!BF21,'Pop Cibles'!BF21,0)</f>
        <v>67099.367963236946</v>
      </c>
      <c r="W21" s="22">
        <f>IF('Pop Cibles'!BL21&lt;'Pop Cibles'!BS21,'Pop Cibles'!BS21,0)+IF('Pop Cibles'!BM21&lt;'Pop Cibles'!BT21,'Pop Cibles'!BT21,0)+IF('Pop Cibles'!BN21&lt;'Pop Cibles'!BU21,'Pop Cibles'!BU21,0)</f>
        <v>68911.050898244343</v>
      </c>
      <c r="X21" s="22">
        <f>'Pop Cibles'!I21*2.5+'Pop Cibles'!J21*3</f>
        <v>0</v>
      </c>
      <c r="Y21" s="22">
        <f>'Pop Cibles'!X21*2.5+'Pop Cibles'!Y21*3</f>
        <v>0</v>
      </c>
      <c r="Z21" s="22">
        <f>'Pop Cibles'!AM21*2.5+'Pop Cibles'!AN21*3</f>
        <v>255216.07215812494</v>
      </c>
      <c r="AA21" s="22">
        <f>'Pop Cibles'!BB21*2.5+'Pop Cibles'!BC21*3</f>
        <v>0</v>
      </c>
      <c r="AB21" s="22">
        <f>'Pop Cibles'!BQ21*2.5+'Pop Cibles'!BR21*3</f>
        <v>0</v>
      </c>
      <c r="AC21" s="22">
        <f>'Pop Cibles'!N21*2</f>
        <v>0</v>
      </c>
      <c r="AD21" s="22">
        <f>'Pop Cibles'!AC21*2</f>
        <v>0</v>
      </c>
      <c r="AE21" s="22">
        <f>'Pop Cibles'!AR21*2</f>
        <v>0</v>
      </c>
      <c r="AF21" s="22">
        <f>'Pop Cibles'!BG21*2</f>
        <v>0</v>
      </c>
      <c r="AG21" s="22">
        <f>'Pop Cibles'!BV21*2</f>
        <v>0</v>
      </c>
      <c r="AH21" s="22">
        <f>'Pop Cibles'!O21*0.33</f>
        <v>0</v>
      </c>
      <c r="AI21" s="22">
        <f>'Pop Cibles'!AD21*0.33</f>
        <v>0</v>
      </c>
      <c r="AJ21" s="22">
        <f>'Pop Cibles'!AS21*0.33</f>
        <v>0</v>
      </c>
      <c r="AK21" s="22">
        <f>'Pop Cibles'!BH21*0.33</f>
        <v>0</v>
      </c>
      <c r="AL21" s="22">
        <f>'Pop Cibles'!BW21*0.33</f>
        <v>0</v>
      </c>
      <c r="AM21" s="22">
        <f>('Pop Cibles'!P21+'Pop Cibles'!Q21)*3</f>
        <v>0</v>
      </c>
      <c r="AN21" s="22">
        <f>('Pop Cibles'!AE21+'Pop Cibles'!AF21)*3</f>
        <v>0</v>
      </c>
      <c r="AO21" s="22">
        <f>('Pop Cibles'!AT21+'Pop Cibles'!AU21)*3</f>
        <v>0</v>
      </c>
      <c r="AP21" s="22">
        <f>('Pop Cibles'!BI21+'Pop Cibles'!BJ21)*3</f>
        <v>0</v>
      </c>
      <c r="AQ21" s="22">
        <f>('Pop Cibles'!BY21+'Pop Cibles'!BY21)*3</f>
        <v>0</v>
      </c>
    </row>
    <row r="22" spans="1:43" s="5" customFormat="1" ht="12" customHeight="1">
      <c r="A22" s="19">
        <v>19</v>
      </c>
      <c r="B22" s="20" t="str">
        <f>'Pop Cibles'!B22</f>
        <v>KANKAN</v>
      </c>
      <c r="C22" s="21" t="str">
        <f>Population!C22</f>
        <v>Siguiri</v>
      </c>
      <c r="D22" s="22">
        <f>IF(SUM('Plan annuel Différentes Maladie'!K$4:K$996)&gt;0,(MAX('Pop Cibles'!E22,'Pop Cibles'!G22)+MAX('Pop Cibles'!F22,'Pop Cibles'!H22))*2.8,0)</f>
        <v>2008525.1199999996</v>
      </c>
      <c r="E22" s="22">
        <f>IF(SUM('Plan annuel Différentes Maladie'!K$4:K$996)&gt;0,(MAX('Pop Cibles'!T22,'Pop Cibles'!V22)+MAX('Pop Cibles'!U22,'Pop Cibles'!W22))*2.8,0)</f>
        <v>2062755.2982399995</v>
      </c>
      <c r="F22" s="22">
        <f>IF(SUM('Plan annuel Différentes Maladie'!K$4:K$996)&gt;0,(MAX('Pop Cibles'!AI22,'Pop Cibles'!AK22)+MAX('Pop Cibles'!AJ22,'Pop Cibles'!AL22))*2.8,0)</f>
        <v>2118449.6912924796</v>
      </c>
      <c r="G22" s="22">
        <f>IF(SUM('Plan annuel Différentes Maladie'!K$4:K$996)&gt;0,(MAX('Pop Cibles'!AX22,'Pop Cibles'!AZ22)+MAX('Pop Cibles'!AY22,'Pop Cibles'!BA22))*2.8,0)</f>
        <v>2175647.8329573763</v>
      </c>
      <c r="H22" s="22">
        <f>IF(SUM('Plan annuel Différentes Maladie'!K$4:K$996)&gt;0,(MAX('Pop Cibles'!BM22,'Pop Cibles'!BO22)+MAX('Pop Cibles'!BN22,'Pop Cibles'!BP22))*2.8,0)</f>
        <v>2234390.3244472253</v>
      </c>
      <c r="I22" s="22">
        <f>IF(SUM('Plan annuel Différentes Maladie'!K$4:K$996)=0,('Pop Cibles'!D22+'Pop Cibles'!E22+'Pop Cibles'!F22)*2.5,0)</f>
        <v>0</v>
      </c>
      <c r="J22" s="22">
        <f>IF(SUM('Plan annuel Différentes Maladie'!K$4:K$996)=0,('Pop Cibles'!S22+'Pop Cibles'!T22+'Pop Cibles'!U22)*2.5,0)</f>
        <v>0</v>
      </c>
      <c r="K22" s="22">
        <f>IF(SUM('Plan annuel Différentes Maladie'!K$4:K$996)=0,('Pop Cibles'!AH22+'Pop Cibles'!AI22+'Pop Cibles'!AJ22)*2.5,0)</f>
        <v>0</v>
      </c>
      <c r="L22" s="22">
        <f>IF(SUM('Plan annuel Différentes Maladie'!K$4:K$996)=0,('Pop Cibles'!AW22+'Pop Cibles'!AX22+'Pop Cibles'!AY22)*2.5,0)</f>
        <v>0</v>
      </c>
      <c r="M22" s="22">
        <f>IF(SUM('Plan annuel Différentes Maladie'!K$4:K$996)=0,('Pop Cibles'!BL22+'Pop Cibles'!BM22+'Pop Cibles'!BN22)*2.5,0)</f>
        <v>0</v>
      </c>
      <c r="N22" s="22">
        <f>'Pop Cibles'!D22+'Pop Cibles'!E22+'Pop Cibles'!F22</f>
        <v>717330.39999999991</v>
      </c>
      <c r="O22" s="22">
        <f>'Pop Cibles'!S22+'Pop Cibles'!T22+'Pop Cibles'!U22</f>
        <v>736698.32079999987</v>
      </c>
      <c r="P22" s="22">
        <f>'Pop Cibles'!AH22+'Pop Cibles'!AI22+'Pop Cibles'!AJ22</f>
        <v>756589.17546159984</v>
      </c>
      <c r="Q22" s="22">
        <f>'Pop Cibles'!AW22+'Pop Cibles'!AX22+'Pop Cibles'!AY22</f>
        <v>777017.08319906297</v>
      </c>
      <c r="R22" s="22">
        <f>'Pop Cibles'!BL22+'Pop Cibles'!BM22+'Pop Cibles'!BN22</f>
        <v>797996.54444543761</v>
      </c>
      <c r="S22" s="22">
        <f>IF('Pop Cibles'!D22&lt;'Pop Cibles'!K22,'Pop Cibles'!K22,0)+IF('Pop Cibles'!E22&lt;'Pop Cibles'!L22,'Pop Cibles'!L22,0)+IF('Pop Cibles'!F22&lt;'Pop Cibles'!M22,'Pop Cibles'!M22,0)</f>
        <v>0</v>
      </c>
      <c r="T22" s="22">
        <f>IF('Pop Cibles'!S22&lt;'Pop Cibles'!Z22,'Pop Cibles'!Z22,0)+IF('Pop Cibles'!T22&lt;'Pop Cibles'!AA22,'Pop Cibles'!AA22,0)+IF('Pop Cibles'!U22&lt;'Pop Cibles'!AB22,'Pop Cibles'!AB22,0)</f>
        <v>0</v>
      </c>
      <c r="U22" s="22">
        <f>IF('Pop Cibles'!AH22&lt;'Pop Cibles'!AO22,'Pop Cibles'!AO22,0)+IF('Pop Cibles'!AI22&lt;'Pop Cibles'!AP22,'Pop Cibles'!AP22,0)+IF('Pop Cibles'!AJ22&lt;'Pop Cibles'!AQ22,'Pop Cibles'!AQ22,0)</f>
        <v>0</v>
      </c>
      <c r="V22" s="22">
        <f>IF('Pop Cibles'!AW22&lt;'Pop Cibles'!BD22,'Pop Cibles'!BD22,0)+IF('Pop Cibles'!AX22&lt;'Pop Cibles'!BE22,'Pop Cibles'!BE22,0)+IF('Pop Cibles'!AY22&lt;'Pop Cibles'!BF22,'Pop Cibles'!BF22,0)</f>
        <v>0</v>
      </c>
      <c r="W22" s="22">
        <f>IF('Pop Cibles'!BL22&lt;'Pop Cibles'!BS22,'Pop Cibles'!BS22,0)+IF('Pop Cibles'!BM22&lt;'Pop Cibles'!BT22,'Pop Cibles'!BT22,0)+IF('Pop Cibles'!BN22&lt;'Pop Cibles'!BU22,'Pop Cibles'!BU22,0)</f>
        <v>0</v>
      </c>
      <c r="X22" s="22">
        <f>'Pop Cibles'!I22*2.5+'Pop Cibles'!J22*3</f>
        <v>560414.375</v>
      </c>
      <c r="Y22" s="22">
        <f>'Pop Cibles'!X22*2.5+'Pop Cibles'!Y22*3</f>
        <v>575545.56312499999</v>
      </c>
      <c r="Z22" s="22">
        <f>'Pop Cibles'!AM22*2.5+'Pop Cibles'!AN22*3</f>
        <v>591085.29332937486</v>
      </c>
      <c r="AA22" s="22">
        <f>'Pop Cibles'!BB22*2.5+'Pop Cibles'!BC22*3</f>
        <v>607044.59624926804</v>
      </c>
      <c r="AB22" s="22">
        <f>'Pop Cibles'!BQ22*2.5+'Pop Cibles'!BR22*3</f>
        <v>623434.80034799816</v>
      </c>
      <c r="AC22" s="22">
        <f>'Pop Cibles'!N22*2</f>
        <v>0</v>
      </c>
      <c r="AD22" s="22">
        <f>'Pop Cibles'!AC22*2</f>
        <v>0</v>
      </c>
      <c r="AE22" s="22">
        <f>'Pop Cibles'!AR22*2</f>
        <v>0</v>
      </c>
      <c r="AF22" s="22">
        <f>'Pop Cibles'!BG22*2</f>
        <v>0</v>
      </c>
      <c r="AG22" s="22">
        <f>'Pop Cibles'!BV22*2</f>
        <v>0</v>
      </c>
      <c r="AH22" s="22">
        <f>'Pop Cibles'!O22*0.33</f>
        <v>0</v>
      </c>
      <c r="AI22" s="22">
        <f>'Pop Cibles'!AD22*0.33</f>
        <v>0</v>
      </c>
      <c r="AJ22" s="22">
        <f>'Pop Cibles'!AS22*0.33</f>
        <v>0</v>
      </c>
      <c r="AK22" s="22">
        <f>'Pop Cibles'!BH22*0.33</f>
        <v>0</v>
      </c>
      <c r="AL22" s="22">
        <f>'Pop Cibles'!BW22*0.33</f>
        <v>0</v>
      </c>
      <c r="AM22" s="22">
        <f>('Pop Cibles'!P22+'Pop Cibles'!Q22)*3</f>
        <v>0</v>
      </c>
      <c r="AN22" s="22">
        <f>('Pop Cibles'!AE22+'Pop Cibles'!AF22)*3</f>
        <v>0</v>
      </c>
      <c r="AO22" s="22">
        <f>('Pop Cibles'!AT22+'Pop Cibles'!AU22)*3</f>
        <v>0</v>
      </c>
      <c r="AP22" s="22">
        <f>('Pop Cibles'!BI22+'Pop Cibles'!BJ22)*3</f>
        <v>0</v>
      </c>
      <c r="AQ22" s="22">
        <f>('Pop Cibles'!BY22+'Pop Cibles'!BY22)*3</f>
        <v>0</v>
      </c>
    </row>
    <row r="23" spans="1:43" s="5" customFormat="1" ht="12" customHeight="1">
      <c r="A23" s="19">
        <v>20</v>
      </c>
      <c r="B23" s="20" t="str">
        <f>'Pop Cibles'!B23</f>
        <v>KINDIA</v>
      </c>
      <c r="C23" s="21" t="str">
        <f>Population!C23</f>
        <v>Coyah</v>
      </c>
      <c r="D23" s="22">
        <f>IF(SUM('Plan annuel Différentes Maladie'!K$4:K$996)&gt;0,(MAX('Pop Cibles'!E23,'Pop Cibles'!G23)+MAX('Pop Cibles'!F23,'Pop Cibles'!H23))*2.8,0)</f>
        <v>0</v>
      </c>
      <c r="E23" s="22">
        <f>IF(SUM('Plan annuel Différentes Maladie'!K$4:K$996)&gt;0,(MAX('Pop Cibles'!T23,'Pop Cibles'!V23)+MAX('Pop Cibles'!U23,'Pop Cibles'!W23))*2.8,0)</f>
        <v>0</v>
      </c>
      <c r="F23" s="22">
        <f>IF(SUM('Plan annuel Différentes Maladie'!K$4:K$996)&gt;0,(MAX('Pop Cibles'!AI23,'Pop Cibles'!AK23)+MAX('Pop Cibles'!AJ23,'Pop Cibles'!AL23))*2.8,0)</f>
        <v>0</v>
      </c>
      <c r="G23" s="22">
        <f>IF(SUM('Plan annuel Différentes Maladie'!K$4:K$996)&gt;0,(MAX('Pop Cibles'!AX23,'Pop Cibles'!AZ23)+MAX('Pop Cibles'!AY23,'Pop Cibles'!BA23))*2.8,0)</f>
        <v>0</v>
      </c>
      <c r="H23" s="22">
        <f>IF(SUM('Plan annuel Différentes Maladie'!K$4:K$996)&gt;0,(MAX('Pop Cibles'!BM23,'Pop Cibles'!BO23)+MAX('Pop Cibles'!BN23,'Pop Cibles'!BP23))*2.8,0)</f>
        <v>0</v>
      </c>
      <c r="I23" s="22">
        <f>IF(SUM('Plan annuel Différentes Maladie'!K$4:K$996)=0,('Pop Cibles'!D23+'Pop Cibles'!E23+'Pop Cibles'!F23)*2.5,0)</f>
        <v>0</v>
      </c>
      <c r="J23" s="22">
        <f>IF(SUM('Plan annuel Différentes Maladie'!K$4:K$996)=0,('Pop Cibles'!S23+'Pop Cibles'!T23+'Pop Cibles'!U23)*2.5,0)</f>
        <v>0</v>
      </c>
      <c r="K23" s="22">
        <f>IF(SUM('Plan annuel Différentes Maladie'!K$4:K$996)=0,('Pop Cibles'!AH23+'Pop Cibles'!AI23+'Pop Cibles'!AJ23)*2.5,0)</f>
        <v>0</v>
      </c>
      <c r="L23" s="22">
        <f>IF(SUM('Plan annuel Différentes Maladie'!K$4:K$996)=0,('Pop Cibles'!AW23+'Pop Cibles'!AX23+'Pop Cibles'!AY23)*2.5,0)</f>
        <v>0</v>
      </c>
      <c r="M23" s="22">
        <f>IF(SUM('Plan annuel Différentes Maladie'!K$4:K$996)=0,('Pop Cibles'!BL23+'Pop Cibles'!BM23+'Pop Cibles'!BN23)*2.5,0)</f>
        <v>0</v>
      </c>
      <c r="N23" s="22">
        <f>'Pop Cibles'!D23+'Pop Cibles'!E23+'Pop Cibles'!F23</f>
        <v>0</v>
      </c>
      <c r="O23" s="22">
        <f>'Pop Cibles'!S23+'Pop Cibles'!T23+'Pop Cibles'!U23</f>
        <v>0</v>
      </c>
      <c r="P23" s="22">
        <f>'Pop Cibles'!AH23+'Pop Cibles'!AI23+'Pop Cibles'!AJ23</f>
        <v>0</v>
      </c>
      <c r="Q23" s="22">
        <f>'Pop Cibles'!AW23+'Pop Cibles'!AX23+'Pop Cibles'!AY23</f>
        <v>0</v>
      </c>
      <c r="R23" s="22">
        <f>'Pop Cibles'!BL23+'Pop Cibles'!BM23+'Pop Cibles'!BN23</f>
        <v>0</v>
      </c>
      <c r="S23" s="22">
        <f>IF('Pop Cibles'!D23&lt;'Pop Cibles'!K23,'Pop Cibles'!K23,0)+IF('Pop Cibles'!E23&lt;'Pop Cibles'!L23,'Pop Cibles'!L23,0)+IF('Pop Cibles'!F23&lt;'Pop Cibles'!M23,'Pop Cibles'!M23,0)</f>
        <v>0</v>
      </c>
      <c r="T23" s="22">
        <f>IF('Pop Cibles'!S23&lt;'Pop Cibles'!Z23,'Pop Cibles'!Z23,0)+IF('Pop Cibles'!T23&lt;'Pop Cibles'!AA23,'Pop Cibles'!AA23,0)+IF('Pop Cibles'!U23&lt;'Pop Cibles'!AB23,'Pop Cibles'!AB23,0)</f>
        <v>0</v>
      </c>
      <c r="U23" s="22">
        <f>IF('Pop Cibles'!AH23&lt;'Pop Cibles'!AO23,'Pop Cibles'!AO23,0)+IF('Pop Cibles'!AI23&lt;'Pop Cibles'!AP23,'Pop Cibles'!AP23,0)+IF('Pop Cibles'!AJ23&lt;'Pop Cibles'!AQ23,'Pop Cibles'!AQ23,0)</f>
        <v>0</v>
      </c>
      <c r="V23" s="22">
        <f>IF('Pop Cibles'!AW23&lt;'Pop Cibles'!BD23,'Pop Cibles'!BD23,0)+IF('Pop Cibles'!AX23&lt;'Pop Cibles'!BE23,'Pop Cibles'!BE23,0)+IF('Pop Cibles'!AY23&lt;'Pop Cibles'!BF23,'Pop Cibles'!BF23,0)</f>
        <v>0</v>
      </c>
      <c r="W23" s="22">
        <f>IF('Pop Cibles'!BL23&lt;'Pop Cibles'!BS23,'Pop Cibles'!BS23,0)+IF('Pop Cibles'!BM23&lt;'Pop Cibles'!BT23,'Pop Cibles'!BT23,0)+IF('Pop Cibles'!BN23&lt;'Pop Cibles'!BU23,'Pop Cibles'!BU23,0)</f>
        <v>0</v>
      </c>
      <c r="X23" s="22">
        <f>'Pop Cibles'!I23*2.5+'Pop Cibles'!J23*3</f>
        <v>231188.125</v>
      </c>
      <c r="Y23" s="22">
        <f>'Pop Cibles'!X23*2.5+'Pop Cibles'!Y23*3</f>
        <v>0</v>
      </c>
      <c r="Z23" s="22">
        <f>'Pop Cibles'!AM23*2.5+'Pop Cibles'!AN23*3</f>
        <v>0</v>
      </c>
      <c r="AA23" s="22">
        <f>'Pop Cibles'!BB23*2.5+'Pop Cibles'!BC23*3</f>
        <v>250424.52203023931</v>
      </c>
      <c r="AB23" s="22">
        <f>'Pop Cibles'!BQ23*2.5+'Pop Cibles'!BR23*3</f>
        <v>0</v>
      </c>
      <c r="AC23" s="22">
        <f>'Pop Cibles'!N23*2</f>
        <v>0</v>
      </c>
      <c r="AD23" s="22">
        <f>'Pop Cibles'!AC23*2</f>
        <v>0</v>
      </c>
      <c r="AE23" s="22">
        <f>'Pop Cibles'!AR23*2</f>
        <v>0</v>
      </c>
      <c r="AF23" s="22">
        <f>'Pop Cibles'!BG23*2</f>
        <v>0</v>
      </c>
      <c r="AG23" s="22">
        <f>'Pop Cibles'!BV23*2</f>
        <v>0</v>
      </c>
      <c r="AH23" s="22">
        <f>'Pop Cibles'!O23*0.33</f>
        <v>0</v>
      </c>
      <c r="AI23" s="22">
        <f>'Pop Cibles'!AD23*0.33</f>
        <v>0</v>
      </c>
      <c r="AJ23" s="22">
        <f>'Pop Cibles'!AS23*0.33</f>
        <v>0</v>
      </c>
      <c r="AK23" s="22">
        <f>'Pop Cibles'!BH23*0.33</f>
        <v>0</v>
      </c>
      <c r="AL23" s="22">
        <f>'Pop Cibles'!BW23*0.33</f>
        <v>0</v>
      </c>
      <c r="AM23" s="22">
        <f>('Pop Cibles'!P23+'Pop Cibles'!Q23)*3</f>
        <v>0</v>
      </c>
      <c r="AN23" s="22">
        <f>('Pop Cibles'!AE23+'Pop Cibles'!AF23)*3</f>
        <v>0</v>
      </c>
      <c r="AO23" s="22">
        <f>('Pop Cibles'!AT23+'Pop Cibles'!AU23)*3</f>
        <v>0</v>
      </c>
      <c r="AP23" s="22">
        <f>('Pop Cibles'!BI23+'Pop Cibles'!BJ23)*3</f>
        <v>0</v>
      </c>
      <c r="AQ23" s="22">
        <f>('Pop Cibles'!BY23+'Pop Cibles'!BY23)*3</f>
        <v>0</v>
      </c>
    </row>
    <row r="24" spans="1:43" s="5" customFormat="1" ht="12" customHeight="1">
      <c r="A24" s="19">
        <v>21</v>
      </c>
      <c r="B24" s="20" t="str">
        <f>'Pop Cibles'!B24</f>
        <v>KINDIA</v>
      </c>
      <c r="C24" s="21" t="str">
        <f>Population!C24</f>
        <v>Dubréka</v>
      </c>
      <c r="D24" s="22">
        <f>IF(SUM('Plan annuel Différentes Maladie'!K$4:K$996)&gt;0,(MAX('Pop Cibles'!E24,'Pop Cibles'!G24)+MAX('Pop Cibles'!F24,'Pop Cibles'!H24))*2.8,0)</f>
        <v>0</v>
      </c>
      <c r="E24" s="22">
        <f>IF(SUM('Plan annuel Différentes Maladie'!K$4:K$996)&gt;0,(MAX('Pop Cibles'!T24,'Pop Cibles'!V24)+MAX('Pop Cibles'!U24,'Pop Cibles'!W24))*2.8,0)</f>
        <v>0</v>
      </c>
      <c r="F24" s="22">
        <f>IF(SUM('Plan annuel Différentes Maladie'!K$4:K$996)&gt;0,(MAX('Pop Cibles'!AI24,'Pop Cibles'!AK24)+MAX('Pop Cibles'!AJ24,'Pop Cibles'!AL24))*2.8,0)</f>
        <v>0</v>
      </c>
      <c r="G24" s="22">
        <f>IF(SUM('Plan annuel Différentes Maladie'!K$4:K$996)&gt;0,(MAX('Pop Cibles'!AX24,'Pop Cibles'!AZ24)+MAX('Pop Cibles'!AY24,'Pop Cibles'!BA24))*2.8,0)</f>
        <v>0</v>
      </c>
      <c r="H24" s="22">
        <f>IF(SUM('Plan annuel Différentes Maladie'!K$4:K$996)&gt;0,(MAX('Pop Cibles'!BM24,'Pop Cibles'!BO24)+MAX('Pop Cibles'!BN24,'Pop Cibles'!BP24))*2.8,0)</f>
        <v>0</v>
      </c>
      <c r="I24" s="22">
        <f>IF(SUM('Plan annuel Différentes Maladie'!K$4:K$996)=0,('Pop Cibles'!D24+'Pop Cibles'!E24+'Pop Cibles'!F24)*2.5,0)</f>
        <v>0</v>
      </c>
      <c r="J24" s="22">
        <f>IF(SUM('Plan annuel Différentes Maladie'!K$4:K$996)=0,('Pop Cibles'!S24+'Pop Cibles'!T24+'Pop Cibles'!U24)*2.5,0)</f>
        <v>0</v>
      </c>
      <c r="K24" s="22">
        <f>IF(SUM('Plan annuel Différentes Maladie'!K$4:K$996)=0,('Pop Cibles'!AH24+'Pop Cibles'!AI24+'Pop Cibles'!AJ24)*2.5,0)</f>
        <v>0</v>
      </c>
      <c r="L24" s="22">
        <f>IF(SUM('Plan annuel Différentes Maladie'!K$4:K$996)=0,('Pop Cibles'!AW24+'Pop Cibles'!AX24+'Pop Cibles'!AY24)*2.5,0)</f>
        <v>0</v>
      </c>
      <c r="M24" s="22">
        <f>IF(SUM('Plan annuel Différentes Maladie'!K$4:K$996)=0,('Pop Cibles'!BL24+'Pop Cibles'!BM24+'Pop Cibles'!BN24)*2.5,0)</f>
        <v>0</v>
      </c>
      <c r="N24" s="22">
        <f>'Pop Cibles'!D24+'Pop Cibles'!E24+'Pop Cibles'!F24</f>
        <v>0</v>
      </c>
      <c r="O24" s="22">
        <f>'Pop Cibles'!S24+'Pop Cibles'!T24+'Pop Cibles'!U24</f>
        <v>0</v>
      </c>
      <c r="P24" s="22">
        <f>'Pop Cibles'!AH24+'Pop Cibles'!AI24+'Pop Cibles'!AJ24</f>
        <v>0</v>
      </c>
      <c r="Q24" s="22">
        <f>'Pop Cibles'!AW24+'Pop Cibles'!AX24+'Pop Cibles'!AY24</f>
        <v>0</v>
      </c>
      <c r="R24" s="22">
        <f>'Pop Cibles'!BL24+'Pop Cibles'!BM24+'Pop Cibles'!BN24</f>
        <v>0</v>
      </c>
      <c r="S24" s="22">
        <f>IF('Pop Cibles'!D24&lt;'Pop Cibles'!K24,'Pop Cibles'!K24,0)+IF('Pop Cibles'!E24&lt;'Pop Cibles'!L24,'Pop Cibles'!L24,0)+IF('Pop Cibles'!F24&lt;'Pop Cibles'!M24,'Pop Cibles'!M24,0)</f>
        <v>0</v>
      </c>
      <c r="T24" s="22">
        <f>IF('Pop Cibles'!S24&lt;'Pop Cibles'!Z24,'Pop Cibles'!Z24,0)+IF('Pop Cibles'!T24&lt;'Pop Cibles'!AA24,'Pop Cibles'!AA24,0)+IF('Pop Cibles'!U24&lt;'Pop Cibles'!AB24,'Pop Cibles'!AB24,0)</f>
        <v>0</v>
      </c>
      <c r="U24" s="22">
        <f>IF('Pop Cibles'!AH24&lt;'Pop Cibles'!AO24,'Pop Cibles'!AO24,0)+IF('Pop Cibles'!AI24&lt;'Pop Cibles'!AP24,'Pop Cibles'!AP24,0)+IF('Pop Cibles'!AJ24&lt;'Pop Cibles'!AQ24,'Pop Cibles'!AQ24,0)</f>
        <v>0</v>
      </c>
      <c r="V24" s="22">
        <f>IF('Pop Cibles'!AW24&lt;'Pop Cibles'!BD24,'Pop Cibles'!BD24,0)+IF('Pop Cibles'!AX24&lt;'Pop Cibles'!BE24,'Pop Cibles'!BE24,0)+IF('Pop Cibles'!AY24&lt;'Pop Cibles'!BF24,'Pop Cibles'!BF24,0)</f>
        <v>0</v>
      </c>
      <c r="W24" s="22">
        <f>IF('Pop Cibles'!BL24&lt;'Pop Cibles'!BS24,'Pop Cibles'!BS24,0)+IF('Pop Cibles'!BM24&lt;'Pop Cibles'!BT24,'Pop Cibles'!BT24,0)+IF('Pop Cibles'!BN24&lt;'Pop Cibles'!BU24,'Pop Cibles'!BU24,0)</f>
        <v>0</v>
      </c>
      <c r="X24" s="22">
        <f>'Pop Cibles'!I24*2.5+'Pop Cibles'!J24*3</f>
        <v>309978.75</v>
      </c>
      <c r="Y24" s="22">
        <f>'Pop Cibles'!X24*2.5+'Pop Cibles'!Y24*3</f>
        <v>0</v>
      </c>
      <c r="Z24" s="22">
        <f>'Pop Cibles'!AM24*2.5+'Pop Cibles'!AN24*3</f>
        <v>0</v>
      </c>
      <c r="AA24" s="22">
        <f>'Pop Cibles'!BB24*2.5+'Pop Cibles'!BC24*3</f>
        <v>335771.05358798616</v>
      </c>
      <c r="AB24" s="22">
        <f>'Pop Cibles'!BQ24*2.5+'Pop Cibles'!BR24*3</f>
        <v>0</v>
      </c>
      <c r="AC24" s="22">
        <f>'Pop Cibles'!N24*2</f>
        <v>0</v>
      </c>
      <c r="AD24" s="22">
        <f>'Pop Cibles'!AC24*2</f>
        <v>0</v>
      </c>
      <c r="AE24" s="22">
        <f>'Pop Cibles'!AR24*2</f>
        <v>0</v>
      </c>
      <c r="AF24" s="22">
        <f>'Pop Cibles'!BG24*2</f>
        <v>0</v>
      </c>
      <c r="AG24" s="22">
        <f>'Pop Cibles'!BV24*2</f>
        <v>0</v>
      </c>
      <c r="AH24" s="22">
        <f>'Pop Cibles'!O24*0.33</f>
        <v>0</v>
      </c>
      <c r="AI24" s="22">
        <f>'Pop Cibles'!AD24*0.33</f>
        <v>0</v>
      </c>
      <c r="AJ24" s="22">
        <f>'Pop Cibles'!AS24*0.33</f>
        <v>0</v>
      </c>
      <c r="AK24" s="22">
        <f>'Pop Cibles'!BH24*0.33</f>
        <v>0</v>
      </c>
      <c r="AL24" s="22">
        <f>'Pop Cibles'!BW24*0.33</f>
        <v>0</v>
      </c>
      <c r="AM24" s="22">
        <f>('Pop Cibles'!P24+'Pop Cibles'!Q24)*3</f>
        <v>0</v>
      </c>
      <c r="AN24" s="22">
        <f>('Pop Cibles'!AE24+'Pop Cibles'!AF24)*3</f>
        <v>0</v>
      </c>
      <c r="AO24" s="22">
        <f>('Pop Cibles'!AT24+'Pop Cibles'!AU24)*3</f>
        <v>0</v>
      </c>
      <c r="AP24" s="22">
        <f>('Pop Cibles'!BI24+'Pop Cibles'!BJ24)*3</f>
        <v>0</v>
      </c>
      <c r="AQ24" s="22">
        <f>('Pop Cibles'!BY24+'Pop Cibles'!BY24)*3</f>
        <v>0</v>
      </c>
    </row>
    <row r="25" spans="1:43" s="5" customFormat="1" ht="12" customHeight="1">
      <c r="A25" s="19">
        <v>22</v>
      </c>
      <c r="B25" s="20" t="str">
        <f>'Pop Cibles'!B25</f>
        <v>KINDIA</v>
      </c>
      <c r="C25" s="21" t="str">
        <f>Population!C25</f>
        <v>Forécariah</v>
      </c>
      <c r="D25" s="22">
        <f>IF(SUM('Plan annuel Différentes Maladie'!K$4:K$996)&gt;0,(MAX('Pop Cibles'!E25,'Pop Cibles'!G25)+MAX('Pop Cibles'!F25,'Pop Cibles'!H25))*2.8,0)</f>
        <v>608879.03999999992</v>
      </c>
      <c r="E25" s="22">
        <f>IF(SUM('Plan annuel Différentes Maladie'!K$4:K$996)&gt;0,(MAX('Pop Cibles'!T25,'Pop Cibles'!V25)+MAX('Pop Cibles'!U25,'Pop Cibles'!W25))*2.8,0)</f>
        <v>625318.77407999977</v>
      </c>
      <c r="F25" s="22">
        <f>IF(SUM('Plan annuel Différentes Maladie'!K$4:K$996)&gt;0,(MAX('Pop Cibles'!AI25,'Pop Cibles'!AK25)+MAX('Pop Cibles'!AJ25,'Pop Cibles'!AL25))*2.8,0)</f>
        <v>642202.38098015974</v>
      </c>
      <c r="G25" s="22">
        <f>IF(SUM('Plan annuel Différentes Maladie'!K$4:K$996)&gt;0,(MAX('Pop Cibles'!AX25,'Pop Cibles'!AZ25)+MAX('Pop Cibles'!AY25,'Pop Cibles'!BA25))*2.8,0)</f>
        <v>659541.845266624</v>
      </c>
      <c r="H25" s="22">
        <f>IF(SUM('Plan annuel Différentes Maladie'!K$4:K$996)&gt;0,(MAX('Pop Cibles'!BM25,'Pop Cibles'!BO25)+MAX('Pop Cibles'!BN25,'Pop Cibles'!BP25))*2.8,0)</f>
        <v>677349.47508882277</v>
      </c>
      <c r="I25" s="22">
        <f>IF(SUM('Plan annuel Différentes Maladie'!K$4:K$996)=0,('Pop Cibles'!D25+'Pop Cibles'!E25+'Pop Cibles'!F25)*2.5,0)</f>
        <v>0</v>
      </c>
      <c r="J25" s="22">
        <f>IF(SUM('Plan annuel Différentes Maladie'!K$4:K$996)=0,('Pop Cibles'!S25+'Pop Cibles'!T25+'Pop Cibles'!U25)*2.5,0)</f>
        <v>0</v>
      </c>
      <c r="K25" s="22">
        <f>IF(SUM('Plan annuel Différentes Maladie'!K$4:K$996)=0,('Pop Cibles'!AH25+'Pop Cibles'!AI25+'Pop Cibles'!AJ25)*2.5,0)</f>
        <v>0</v>
      </c>
      <c r="L25" s="22">
        <f>IF(SUM('Plan annuel Différentes Maladie'!K$4:K$996)=0,('Pop Cibles'!AW25+'Pop Cibles'!AX25+'Pop Cibles'!AY25)*2.5,0)</f>
        <v>0</v>
      </c>
      <c r="M25" s="22">
        <f>IF(SUM('Plan annuel Différentes Maladie'!K$4:K$996)=0,('Pop Cibles'!BL25+'Pop Cibles'!BM25+'Pop Cibles'!BN25)*2.5,0)</f>
        <v>0</v>
      </c>
      <c r="N25" s="22">
        <f>'Pop Cibles'!D25+'Pop Cibles'!E25+'Pop Cibles'!F25</f>
        <v>217456.8</v>
      </c>
      <c r="O25" s="22">
        <f>'Pop Cibles'!S25+'Pop Cibles'!T25+'Pop Cibles'!U25</f>
        <v>223328.13359999994</v>
      </c>
      <c r="P25" s="22">
        <f>'Pop Cibles'!AH25+'Pop Cibles'!AI25+'Pop Cibles'!AJ25</f>
        <v>229357.99320719994</v>
      </c>
      <c r="Q25" s="22">
        <f>'Pop Cibles'!AW25+'Pop Cibles'!AX25+'Pop Cibles'!AY25</f>
        <v>235550.65902379432</v>
      </c>
      <c r="R25" s="22">
        <f>'Pop Cibles'!BL25+'Pop Cibles'!BM25+'Pop Cibles'!BN25</f>
        <v>241910.52681743674</v>
      </c>
      <c r="S25" s="22">
        <f>IF('Pop Cibles'!D25&lt;'Pop Cibles'!K25,'Pop Cibles'!K25,0)+IF('Pop Cibles'!E25&lt;'Pop Cibles'!L25,'Pop Cibles'!L25,0)+IF('Pop Cibles'!F25&lt;'Pop Cibles'!M25,'Pop Cibles'!M25,0)</f>
        <v>111446.61</v>
      </c>
      <c r="T25" s="22">
        <f>IF('Pop Cibles'!S25&lt;'Pop Cibles'!Z25,'Pop Cibles'!Z25,0)+IF('Pop Cibles'!T25&lt;'Pop Cibles'!AA25,'Pop Cibles'!AA25,0)+IF('Pop Cibles'!U25&lt;'Pop Cibles'!AB25,'Pop Cibles'!AB25,0)</f>
        <v>44665.626719999993</v>
      </c>
      <c r="U25" s="22">
        <f>IF('Pop Cibles'!AH25&lt;'Pop Cibles'!AO25,'Pop Cibles'!AO25,0)+IF('Pop Cibles'!AI25&lt;'Pop Cibles'!AP25,'Pop Cibles'!AP25,0)+IF('Pop Cibles'!AJ25&lt;'Pop Cibles'!AQ25,'Pop Cibles'!AQ25,0)</f>
        <v>45871.598641439996</v>
      </c>
      <c r="V25" s="22">
        <f>IF('Pop Cibles'!AW25&lt;'Pop Cibles'!BD25,'Pop Cibles'!BD25,0)+IF('Pop Cibles'!AX25&lt;'Pop Cibles'!BE25,'Pop Cibles'!BE25,0)+IF('Pop Cibles'!AY25&lt;'Pop Cibles'!BF25,'Pop Cibles'!BF25,0)</f>
        <v>47110.131804758872</v>
      </c>
      <c r="W25" s="22">
        <f>IF('Pop Cibles'!BL25&lt;'Pop Cibles'!BS25,'Pop Cibles'!BS25,0)+IF('Pop Cibles'!BM25&lt;'Pop Cibles'!BT25,'Pop Cibles'!BT25,0)+IF('Pop Cibles'!BN25&lt;'Pop Cibles'!BU25,'Pop Cibles'!BU25,0)</f>
        <v>48382.105363487353</v>
      </c>
      <c r="X25" s="22">
        <f>'Pop Cibles'!I25*2.5+'Pop Cibles'!J25*3</f>
        <v>0</v>
      </c>
      <c r="Y25" s="22">
        <f>'Pop Cibles'!X25*2.5+'Pop Cibles'!Y25*3</f>
        <v>0</v>
      </c>
      <c r="Z25" s="22">
        <f>'Pop Cibles'!AM25*2.5+'Pop Cibles'!AN25*3</f>
        <v>179185.93219312496</v>
      </c>
      <c r="AA25" s="22">
        <f>'Pop Cibles'!BB25*2.5+'Pop Cibles'!BC25*3</f>
        <v>0</v>
      </c>
      <c r="AB25" s="22">
        <f>'Pop Cibles'!BQ25*2.5+'Pop Cibles'!BR25*3</f>
        <v>0</v>
      </c>
      <c r="AC25" s="22">
        <f>'Pop Cibles'!N25*2</f>
        <v>0</v>
      </c>
      <c r="AD25" s="22">
        <f>'Pop Cibles'!AC25*2</f>
        <v>0</v>
      </c>
      <c r="AE25" s="22">
        <f>'Pop Cibles'!AR25*2</f>
        <v>0</v>
      </c>
      <c r="AF25" s="22">
        <f>'Pop Cibles'!BG25*2</f>
        <v>0</v>
      </c>
      <c r="AG25" s="22">
        <f>'Pop Cibles'!BV25*2</f>
        <v>0</v>
      </c>
      <c r="AH25" s="22">
        <f>'Pop Cibles'!O25*0.33</f>
        <v>0</v>
      </c>
      <c r="AI25" s="22">
        <f>'Pop Cibles'!AD25*0.33</f>
        <v>0</v>
      </c>
      <c r="AJ25" s="22">
        <f>'Pop Cibles'!AS25*0.33</f>
        <v>0</v>
      </c>
      <c r="AK25" s="22">
        <f>'Pop Cibles'!BH25*0.33</f>
        <v>0</v>
      </c>
      <c r="AL25" s="22">
        <f>'Pop Cibles'!BW25*0.33</f>
        <v>0</v>
      </c>
      <c r="AM25" s="22">
        <f>('Pop Cibles'!P25+'Pop Cibles'!Q25)*3</f>
        <v>0</v>
      </c>
      <c r="AN25" s="22">
        <f>('Pop Cibles'!AE25+'Pop Cibles'!AF25)*3</f>
        <v>0</v>
      </c>
      <c r="AO25" s="22">
        <f>('Pop Cibles'!AT25+'Pop Cibles'!AU25)*3</f>
        <v>0</v>
      </c>
      <c r="AP25" s="22">
        <f>('Pop Cibles'!BI25+'Pop Cibles'!BJ25)*3</f>
        <v>0</v>
      </c>
      <c r="AQ25" s="22">
        <f>('Pop Cibles'!BY25+'Pop Cibles'!BY25)*3</f>
        <v>0</v>
      </c>
    </row>
    <row r="26" spans="1:43" s="5" customFormat="1" ht="12" customHeight="1">
      <c r="A26" s="19">
        <v>23</v>
      </c>
      <c r="B26" s="20" t="str">
        <f>'Pop Cibles'!B26</f>
        <v>KINDIA</v>
      </c>
      <c r="C26" s="21" t="str">
        <f>Population!C26</f>
        <v>Kindia</v>
      </c>
      <c r="D26" s="22">
        <f>IF(SUM('Plan annuel Différentes Maladie'!K$4:K$996)&gt;0,(MAX('Pop Cibles'!E26,'Pop Cibles'!G26)+MAX('Pop Cibles'!F26,'Pop Cibles'!H26))*2.8,0)</f>
        <v>1065554.5599999998</v>
      </c>
      <c r="E26" s="22">
        <f>IF(SUM('Plan annuel Différentes Maladie'!K$4:K$996)&gt;0,(MAX('Pop Cibles'!T26,'Pop Cibles'!V26)+MAX('Pop Cibles'!U26,'Pop Cibles'!W26))*2.8,0)</f>
        <v>1094324.5331199996</v>
      </c>
      <c r="F26" s="22">
        <f>IF(SUM('Plan annuel Différentes Maladie'!K$4:K$996)&gt;0,(MAX('Pop Cibles'!AI26,'Pop Cibles'!AK26)+MAX('Pop Cibles'!AJ26,'Pop Cibles'!AL26))*2.8,0)</f>
        <v>1123871.2955142395</v>
      </c>
      <c r="G26" s="22">
        <f>IF(SUM('Plan annuel Différentes Maladie'!K$4:K$996)&gt;0,(MAX('Pop Cibles'!AX26,'Pop Cibles'!AZ26)+MAX('Pop Cibles'!AY26,'Pop Cibles'!BA26))*2.8,0)</f>
        <v>1154215.820493124</v>
      </c>
      <c r="H26" s="22">
        <f>IF(SUM('Plan annuel Différentes Maladie'!K$4:K$996)&gt;0,(MAX('Pop Cibles'!BM26,'Pop Cibles'!BO26)+MAX('Pop Cibles'!BN26,'Pop Cibles'!BP26))*2.8,0)</f>
        <v>1185379.6476464381</v>
      </c>
      <c r="I26" s="22">
        <f>IF(SUM('Plan annuel Différentes Maladie'!K$4:K$996)=0,('Pop Cibles'!D26+'Pop Cibles'!E26+'Pop Cibles'!F26)*2.5,0)</f>
        <v>0</v>
      </c>
      <c r="J26" s="22">
        <f>IF(SUM('Plan annuel Différentes Maladie'!K$4:K$996)=0,('Pop Cibles'!S26+'Pop Cibles'!T26+'Pop Cibles'!U26)*2.5,0)</f>
        <v>0</v>
      </c>
      <c r="K26" s="22">
        <f>IF(SUM('Plan annuel Différentes Maladie'!K$4:K$996)=0,('Pop Cibles'!AH26+'Pop Cibles'!AI26+'Pop Cibles'!AJ26)*2.5,0)</f>
        <v>0</v>
      </c>
      <c r="L26" s="22">
        <f>IF(SUM('Plan annuel Différentes Maladie'!K$4:K$996)=0,('Pop Cibles'!AW26+'Pop Cibles'!AX26+'Pop Cibles'!AY26)*2.5,0)</f>
        <v>0</v>
      </c>
      <c r="M26" s="22">
        <f>IF(SUM('Plan annuel Différentes Maladie'!K$4:K$996)=0,('Pop Cibles'!BL26+'Pop Cibles'!BM26+'Pop Cibles'!BN26)*2.5,0)</f>
        <v>0</v>
      </c>
      <c r="N26" s="22">
        <f>'Pop Cibles'!D26+'Pop Cibles'!E26+'Pop Cibles'!F26</f>
        <v>380555.19999999995</v>
      </c>
      <c r="O26" s="22">
        <f>'Pop Cibles'!S26+'Pop Cibles'!T26+'Pop Cibles'!U26</f>
        <v>390830.1903999999</v>
      </c>
      <c r="P26" s="22">
        <f>'Pop Cibles'!AH26+'Pop Cibles'!AI26+'Pop Cibles'!AJ26</f>
        <v>401382.60554079985</v>
      </c>
      <c r="Q26" s="22">
        <f>'Pop Cibles'!AW26+'Pop Cibles'!AX26+'Pop Cibles'!AY26</f>
        <v>412219.93589040148</v>
      </c>
      <c r="R26" s="22">
        <f>'Pop Cibles'!BL26+'Pop Cibles'!BM26+'Pop Cibles'!BN26</f>
        <v>423349.8741594422</v>
      </c>
      <c r="S26" s="22">
        <f>IF('Pop Cibles'!D26&lt;'Pop Cibles'!K26,'Pop Cibles'!K26,0)+IF('Pop Cibles'!E26&lt;'Pop Cibles'!L26,'Pop Cibles'!L26,0)+IF('Pop Cibles'!F26&lt;'Pop Cibles'!M26,'Pop Cibles'!M26,0)</f>
        <v>575589.74</v>
      </c>
      <c r="T26" s="22">
        <f>IF('Pop Cibles'!S26&lt;'Pop Cibles'!Z26,'Pop Cibles'!Z26,0)+IF('Pop Cibles'!T26&lt;'Pop Cibles'!AA26,'Pop Cibles'!AA26,0)+IF('Pop Cibles'!U26&lt;'Pop Cibles'!AB26,'Pop Cibles'!AB26,0)</f>
        <v>468996.22847999993</v>
      </c>
      <c r="U26" s="22">
        <f>IF('Pop Cibles'!AH26&lt;'Pop Cibles'!AO26,'Pop Cibles'!AO26,0)+IF('Pop Cibles'!AI26&lt;'Pop Cibles'!AP26,'Pop Cibles'!AP26,0)+IF('Pop Cibles'!AJ26&lt;'Pop Cibles'!AQ26,'Pop Cibles'!AQ26,0)</f>
        <v>481659.12664895988</v>
      </c>
      <c r="V26" s="22">
        <f>IF('Pop Cibles'!AW26&lt;'Pop Cibles'!BD26,'Pop Cibles'!BD26,0)+IF('Pop Cibles'!AX26&lt;'Pop Cibles'!BE26,'Pop Cibles'!BE26,0)+IF('Pop Cibles'!AY26&lt;'Pop Cibles'!BF26,'Pop Cibles'!BF26,0)</f>
        <v>494663.92306848179</v>
      </c>
      <c r="W26" s="22">
        <f>IF('Pop Cibles'!BL26&lt;'Pop Cibles'!BS26,'Pop Cibles'!BS26,0)+IF('Pop Cibles'!BM26&lt;'Pop Cibles'!BT26,'Pop Cibles'!BT26,0)+IF('Pop Cibles'!BN26&lt;'Pop Cibles'!BU26,'Pop Cibles'!BU26,0)</f>
        <v>508019.84899133071</v>
      </c>
      <c r="X26" s="22">
        <f>'Pop Cibles'!I26*2.5+'Pop Cibles'!J26*3</f>
        <v>297308.75</v>
      </c>
      <c r="Y26" s="22">
        <f>'Pop Cibles'!X26*2.5+'Pop Cibles'!Y26*3</f>
        <v>305336.08624999999</v>
      </c>
      <c r="Z26" s="22">
        <f>'Pop Cibles'!AM26*2.5+'Pop Cibles'!AN26*3</f>
        <v>313580.16057874996</v>
      </c>
      <c r="AA26" s="22">
        <f>'Pop Cibles'!BB26*2.5+'Pop Cibles'!BC26*3</f>
        <v>322046.82491437613</v>
      </c>
      <c r="AB26" s="22">
        <f>'Pop Cibles'!BQ26*2.5+'Pop Cibles'!BR26*3</f>
        <v>330742.08918706427</v>
      </c>
      <c r="AC26" s="22">
        <f>'Pop Cibles'!N26*2</f>
        <v>0</v>
      </c>
      <c r="AD26" s="22">
        <f>'Pop Cibles'!AC26*2</f>
        <v>0</v>
      </c>
      <c r="AE26" s="22">
        <f>'Pop Cibles'!AR26*2</f>
        <v>0</v>
      </c>
      <c r="AF26" s="22">
        <f>'Pop Cibles'!BG26*2</f>
        <v>0</v>
      </c>
      <c r="AG26" s="22">
        <f>'Pop Cibles'!BV26*2</f>
        <v>0</v>
      </c>
      <c r="AH26" s="22">
        <f>'Pop Cibles'!O26*0.33</f>
        <v>0</v>
      </c>
      <c r="AI26" s="22">
        <f>'Pop Cibles'!AD26*0.33</f>
        <v>0</v>
      </c>
      <c r="AJ26" s="22">
        <f>'Pop Cibles'!AS26*0.33</f>
        <v>0</v>
      </c>
      <c r="AK26" s="22">
        <f>'Pop Cibles'!BH26*0.33</f>
        <v>0</v>
      </c>
      <c r="AL26" s="22">
        <f>'Pop Cibles'!BW26*0.33</f>
        <v>0</v>
      </c>
      <c r="AM26" s="22">
        <f>('Pop Cibles'!P26+'Pop Cibles'!Q26)*3</f>
        <v>0</v>
      </c>
      <c r="AN26" s="22">
        <f>('Pop Cibles'!AE26+'Pop Cibles'!AF26)*3</f>
        <v>0</v>
      </c>
      <c r="AO26" s="22">
        <f>('Pop Cibles'!AT26+'Pop Cibles'!AU26)*3</f>
        <v>0</v>
      </c>
      <c r="AP26" s="22">
        <f>('Pop Cibles'!BI26+'Pop Cibles'!BJ26)*3</f>
        <v>0</v>
      </c>
      <c r="AQ26" s="22">
        <f>('Pop Cibles'!BY26+'Pop Cibles'!BY26)*3</f>
        <v>0</v>
      </c>
    </row>
    <row r="27" spans="1:43" s="5" customFormat="1" ht="12" customHeight="1">
      <c r="A27" s="19">
        <v>24</v>
      </c>
      <c r="B27" s="20" t="str">
        <f>'Pop Cibles'!B27</f>
        <v>KINDIA</v>
      </c>
      <c r="C27" s="21" t="str">
        <f>Population!C27</f>
        <v>Télimélé</v>
      </c>
      <c r="D27" s="22">
        <f>IF(SUM('Plan annuel Différentes Maladie'!K$4:K$996)&gt;0,(MAX('Pop Cibles'!E27,'Pop Cibles'!G27)+MAX('Pop Cibles'!F27,'Pop Cibles'!H27))*2.8,0)</f>
        <v>708158.07999999984</v>
      </c>
      <c r="E27" s="22">
        <f>IF(SUM('Plan annuel Différentes Maladie'!K$4:K$996)&gt;0,(MAX('Pop Cibles'!T27,'Pop Cibles'!V27)+MAX('Pop Cibles'!U27,'Pop Cibles'!W27))*2.8,0)</f>
        <v>727278.34815999982</v>
      </c>
      <c r="F27" s="22">
        <f>IF(SUM('Plan annuel Différentes Maladie'!K$4:K$996)&gt;0,(MAX('Pop Cibles'!AI27,'Pop Cibles'!AK27)+MAX('Pop Cibles'!AJ27,'Pop Cibles'!AL27))*2.8,0)</f>
        <v>746914.86356031976</v>
      </c>
      <c r="G27" s="22">
        <f>IF(SUM('Plan annuel Différentes Maladie'!K$4:K$996)&gt;0,(MAX('Pop Cibles'!AX27,'Pop Cibles'!AZ27)+MAX('Pop Cibles'!AY27,'Pop Cibles'!BA27))*2.8,0)</f>
        <v>767081.56487644836</v>
      </c>
      <c r="H27" s="22">
        <f>IF(SUM('Plan annuel Différentes Maladie'!K$4:K$996)&gt;0,(MAX('Pop Cibles'!BM27,'Pop Cibles'!BO27)+MAX('Pop Cibles'!BN27,'Pop Cibles'!BP27))*2.8,0)</f>
        <v>787792.76712811238</v>
      </c>
      <c r="I27" s="22">
        <f>IF(SUM('Plan annuel Différentes Maladie'!K$4:K$996)=0,('Pop Cibles'!D27+'Pop Cibles'!E27+'Pop Cibles'!F27)*2.5,0)</f>
        <v>0</v>
      </c>
      <c r="J27" s="22">
        <f>IF(SUM('Plan annuel Différentes Maladie'!K$4:K$996)=0,('Pop Cibles'!S27+'Pop Cibles'!T27+'Pop Cibles'!U27)*2.5,0)</f>
        <v>0</v>
      </c>
      <c r="K27" s="22">
        <f>IF(SUM('Plan annuel Différentes Maladie'!K$4:K$996)=0,('Pop Cibles'!AH27+'Pop Cibles'!AI27+'Pop Cibles'!AJ27)*2.5,0)</f>
        <v>0</v>
      </c>
      <c r="L27" s="22">
        <f>IF(SUM('Plan annuel Différentes Maladie'!K$4:K$996)=0,('Pop Cibles'!AW27+'Pop Cibles'!AX27+'Pop Cibles'!AY27)*2.5,0)</f>
        <v>0</v>
      </c>
      <c r="M27" s="22">
        <f>IF(SUM('Plan annuel Différentes Maladie'!K$4:K$996)=0,('Pop Cibles'!BL27+'Pop Cibles'!BM27+'Pop Cibles'!BN27)*2.5,0)</f>
        <v>0</v>
      </c>
      <c r="N27" s="22">
        <f>'Pop Cibles'!D27+'Pop Cibles'!E27+'Pop Cibles'!F27</f>
        <v>252913.59999999998</v>
      </c>
      <c r="O27" s="22">
        <f>'Pop Cibles'!S27+'Pop Cibles'!T27+'Pop Cibles'!U27</f>
        <v>259742.26719999994</v>
      </c>
      <c r="P27" s="22">
        <f>'Pop Cibles'!AH27+'Pop Cibles'!AI27+'Pop Cibles'!AJ27</f>
        <v>266755.30841439991</v>
      </c>
      <c r="Q27" s="22">
        <f>'Pop Cibles'!AW27+'Pop Cibles'!AX27+'Pop Cibles'!AY27</f>
        <v>273957.70174158871</v>
      </c>
      <c r="R27" s="22">
        <f>'Pop Cibles'!BL27+'Pop Cibles'!BM27+'Pop Cibles'!BN27</f>
        <v>281354.5596886116</v>
      </c>
      <c r="S27" s="22">
        <f>IF('Pop Cibles'!D27&lt;'Pop Cibles'!K27,'Pop Cibles'!K27,0)+IF('Pop Cibles'!E27&lt;'Pop Cibles'!L27,'Pop Cibles'!L27,0)+IF('Pop Cibles'!F27&lt;'Pop Cibles'!M27,'Pop Cibles'!M27,0)</f>
        <v>129618.21999999999</v>
      </c>
      <c r="T27" s="22">
        <f>IF('Pop Cibles'!S27&lt;'Pop Cibles'!Z27,'Pop Cibles'!Z27,0)+IF('Pop Cibles'!T27&lt;'Pop Cibles'!AA27,'Pop Cibles'!AA27,0)+IF('Pop Cibles'!U27&lt;'Pop Cibles'!AB27,'Pop Cibles'!AB27,0)</f>
        <v>51948.453439999997</v>
      </c>
      <c r="U27" s="22">
        <f>IF('Pop Cibles'!AH27&lt;'Pop Cibles'!AO27,'Pop Cibles'!AO27,0)+IF('Pop Cibles'!AI27&lt;'Pop Cibles'!AP27,'Pop Cibles'!AP27,0)+IF('Pop Cibles'!AJ27&lt;'Pop Cibles'!AQ27,'Pop Cibles'!AQ27,0)</f>
        <v>53351.06168287999</v>
      </c>
      <c r="V27" s="22">
        <f>IF('Pop Cibles'!AW27&lt;'Pop Cibles'!BD27,'Pop Cibles'!BD27,0)+IF('Pop Cibles'!AX27&lt;'Pop Cibles'!BE27,'Pop Cibles'!BE27,0)+IF('Pop Cibles'!AY27&lt;'Pop Cibles'!BF27,'Pop Cibles'!BF27,0)</f>
        <v>54791.540348317743</v>
      </c>
      <c r="W27" s="22">
        <f>IF('Pop Cibles'!BL27&lt;'Pop Cibles'!BS27,'Pop Cibles'!BS27,0)+IF('Pop Cibles'!BM27&lt;'Pop Cibles'!BT27,'Pop Cibles'!BT27,0)+IF('Pop Cibles'!BN27&lt;'Pop Cibles'!BU27,'Pop Cibles'!BU27,0)</f>
        <v>56270.911937722325</v>
      </c>
      <c r="X27" s="22">
        <f>'Pop Cibles'!I27*2.5+'Pop Cibles'!J27*3</f>
        <v>0</v>
      </c>
      <c r="Y27" s="22">
        <f>'Pop Cibles'!X27*2.5+'Pop Cibles'!Y27*3</f>
        <v>0</v>
      </c>
      <c r="Z27" s="22">
        <f>'Pop Cibles'!AM27*2.5+'Pop Cibles'!AN27*3</f>
        <v>208402.58469874997</v>
      </c>
      <c r="AA27" s="22">
        <f>'Pop Cibles'!BB27*2.5+'Pop Cibles'!BC27*3</f>
        <v>0</v>
      </c>
      <c r="AB27" s="22">
        <f>'Pop Cibles'!BQ27*2.5+'Pop Cibles'!BR27*3</f>
        <v>0</v>
      </c>
      <c r="AC27" s="22">
        <f>'Pop Cibles'!N27*2</f>
        <v>0</v>
      </c>
      <c r="AD27" s="22">
        <f>'Pop Cibles'!AC27*2</f>
        <v>0</v>
      </c>
      <c r="AE27" s="22">
        <f>'Pop Cibles'!AR27*2</f>
        <v>0</v>
      </c>
      <c r="AF27" s="22">
        <f>'Pop Cibles'!BG27*2</f>
        <v>0</v>
      </c>
      <c r="AG27" s="22">
        <f>'Pop Cibles'!BV27*2</f>
        <v>0</v>
      </c>
      <c r="AH27" s="22">
        <f>'Pop Cibles'!O27*0.33</f>
        <v>0</v>
      </c>
      <c r="AI27" s="22">
        <f>'Pop Cibles'!AD27*0.33</f>
        <v>0</v>
      </c>
      <c r="AJ27" s="22">
        <f>'Pop Cibles'!AS27*0.33</f>
        <v>0</v>
      </c>
      <c r="AK27" s="22">
        <f>'Pop Cibles'!BH27*0.33</f>
        <v>0</v>
      </c>
      <c r="AL27" s="22">
        <f>'Pop Cibles'!BW27*0.33</f>
        <v>0</v>
      </c>
      <c r="AM27" s="22">
        <f>('Pop Cibles'!P27+'Pop Cibles'!Q27)*3</f>
        <v>0</v>
      </c>
      <c r="AN27" s="22">
        <f>('Pop Cibles'!AE27+'Pop Cibles'!AF27)*3</f>
        <v>0</v>
      </c>
      <c r="AO27" s="22">
        <f>('Pop Cibles'!AT27+'Pop Cibles'!AU27)*3</f>
        <v>0</v>
      </c>
      <c r="AP27" s="22">
        <f>('Pop Cibles'!BI27+'Pop Cibles'!BJ27)*3</f>
        <v>0</v>
      </c>
      <c r="AQ27" s="22">
        <f>('Pop Cibles'!BY27+'Pop Cibles'!BY27)*3</f>
        <v>0</v>
      </c>
    </row>
    <row r="28" spans="1:43" s="5" customFormat="1" ht="12" customHeight="1">
      <c r="A28" s="19">
        <v>25</v>
      </c>
      <c r="B28" s="20" t="str">
        <f>'Pop Cibles'!B28</f>
        <v>LABE</v>
      </c>
      <c r="C28" s="21" t="str">
        <f>Population!C28</f>
        <v>Koubia</v>
      </c>
      <c r="D28" s="22">
        <f>IF(SUM('Plan annuel Différentes Maladie'!K$4:K$996)&gt;0,(MAX('Pop Cibles'!E28,'Pop Cibles'!G28)+MAX('Pop Cibles'!F28,'Pop Cibles'!H28))*2.8,0)</f>
        <v>0</v>
      </c>
      <c r="E28" s="22">
        <f>IF(SUM('Plan annuel Différentes Maladie'!K$4:K$996)&gt;0,(MAX('Pop Cibles'!T28,'Pop Cibles'!V28)+MAX('Pop Cibles'!U28,'Pop Cibles'!W28))*2.8,0)</f>
        <v>0</v>
      </c>
      <c r="F28" s="22">
        <f>IF(SUM('Plan annuel Différentes Maladie'!K$4:K$996)&gt;0,(MAX('Pop Cibles'!AI28,'Pop Cibles'!AK28)+MAX('Pop Cibles'!AJ28,'Pop Cibles'!AL28))*2.8,0)</f>
        <v>0</v>
      </c>
      <c r="G28" s="22">
        <f>IF(SUM('Plan annuel Différentes Maladie'!K$4:K$996)&gt;0,(MAX('Pop Cibles'!AX28,'Pop Cibles'!AZ28)+MAX('Pop Cibles'!AY28,'Pop Cibles'!BA28))*2.8,0)</f>
        <v>0</v>
      </c>
      <c r="H28" s="22">
        <f>IF(SUM('Plan annuel Différentes Maladie'!K$4:K$996)&gt;0,(MAX('Pop Cibles'!BM28,'Pop Cibles'!BO28)+MAX('Pop Cibles'!BN28,'Pop Cibles'!BP28))*2.8,0)</f>
        <v>0</v>
      </c>
      <c r="I28" s="22">
        <f>IF(SUM('Plan annuel Différentes Maladie'!K$4:K$996)=0,('Pop Cibles'!D28+'Pop Cibles'!E28+'Pop Cibles'!F28)*2.5,0)</f>
        <v>0</v>
      </c>
      <c r="J28" s="22">
        <f>IF(SUM('Plan annuel Différentes Maladie'!K$4:K$996)=0,('Pop Cibles'!S28+'Pop Cibles'!T28+'Pop Cibles'!U28)*2.5,0)</f>
        <v>0</v>
      </c>
      <c r="K28" s="22">
        <f>IF(SUM('Plan annuel Différentes Maladie'!K$4:K$996)=0,('Pop Cibles'!AH28+'Pop Cibles'!AI28+'Pop Cibles'!AJ28)*2.5,0)</f>
        <v>0</v>
      </c>
      <c r="L28" s="22">
        <f>IF(SUM('Plan annuel Différentes Maladie'!K$4:K$996)=0,('Pop Cibles'!AW28+'Pop Cibles'!AX28+'Pop Cibles'!AY28)*2.5,0)</f>
        <v>0</v>
      </c>
      <c r="M28" s="22">
        <f>IF(SUM('Plan annuel Différentes Maladie'!K$4:K$996)=0,('Pop Cibles'!BL28+'Pop Cibles'!BM28+'Pop Cibles'!BN28)*2.5,0)</f>
        <v>0</v>
      </c>
      <c r="N28" s="22">
        <f>'Pop Cibles'!D28+'Pop Cibles'!E28+'Pop Cibles'!F28</f>
        <v>0</v>
      </c>
      <c r="O28" s="22">
        <f>'Pop Cibles'!S28+'Pop Cibles'!T28+'Pop Cibles'!U28</f>
        <v>0</v>
      </c>
      <c r="P28" s="22">
        <f>'Pop Cibles'!AH28+'Pop Cibles'!AI28+'Pop Cibles'!AJ28</f>
        <v>0</v>
      </c>
      <c r="Q28" s="22">
        <f>'Pop Cibles'!AW28+'Pop Cibles'!AX28+'Pop Cibles'!AY28</f>
        <v>0</v>
      </c>
      <c r="R28" s="22">
        <f>'Pop Cibles'!BL28+'Pop Cibles'!BM28+'Pop Cibles'!BN28</f>
        <v>0</v>
      </c>
      <c r="S28" s="22">
        <f>IF('Pop Cibles'!D28&lt;'Pop Cibles'!K28,'Pop Cibles'!K28,0)+IF('Pop Cibles'!E28&lt;'Pop Cibles'!L28,'Pop Cibles'!L28,0)+IF('Pop Cibles'!F28&lt;'Pop Cibles'!M28,'Pop Cibles'!M28,0)</f>
        <v>0</v>
      </c>
      <c r="T28" s="22">
        <f>IF('Pop Cibles'!S28&lt;'Pop Cibles'!Z28,'Pop Cibles'!Z28,0)+IF('Pop Cibles'!T28&lt;'Pop Cibles'!AA28,'Pop Cibles'!AA28,0)+IF('Pop Cibles'!U28&lt;'Pop Cibles'!AB28,'Pop Cibles'!AB28,0)</f>
        <v>0</v>
      </c>
      <c r="U28" s="22">
        <f>IF('Pop Cibles'!AH28&lt;'Pop Cibles'!AO28,'Pop Cibles'!AO28,0)+IF('Pop Cibles'!AI28&lt;'Pop Cibles'!AP28,'Pop Cibles'!AP28,0)+IF('Pop Cibles'!AJ28&lt;'Pop Cibles'!AQ28,'Pop Cibles'!AQ28,0)</f>
        <v>0</v>
      </c>
      <c r="V28" s="22">
        <f>IF('Pop Cibles'!AW28&lt;'Pop Cibles'!BD28,'Pop Cibles'!BD28,0)+IF('Pop Cibles'!AX28&lt;'Pop Cibles'!BE28,'Pop Cibles'!BE28,0)+IF('Pop Cibles'!AY28&lt;'Pop Cibles'!BF28,'Pop Cibles'!BF28,0)</f>
        <v>0</v>
      </c>
      <c r="W28" s="22">
        <f>IF('Pop Cibles'!BL28&lt;'Pop Cibles'!BS28,'Pop Cibles'!BS28,0)+IF('Pop Cibles'!BM28&lt;'Pop Cibles'!BT28,'Pop Cibles'!BT28,0)+IF('Pop Cibles'!BN28&lt;'Pop Cibles'!BU28,'Pop Cibles'!BU28,0)</f>
        <v>0</v>
      </c>
      <c r="X28" s="22">
        <f>'Pop Cibles'!I28*2.5+'Pop Cibles'!J28*3</f>
        <v>70093.125</v>
      </c>
      <c r="Y28" s="22">
        <f>'Pop Cibles'!X28*2.5+'Pop Cibles'!Y28*3</f>
        <v>0</v>
      </c>
      <c r="Z28" s="22">
        <f>'Pop Cibles'!AM28*2.5+'Pop Cibles'!AN28*3</f>
        <v>73929.251638124988</v>
      </c>
      <c r="AA28" s="22">
        <f>'Pop Cibles'!BB28*2.5+'Pop Cibles'!BC28*3</f>
        <v>0</v>
      </c>
      <c r="AB28" s="22">
        <f>'Pop Cibles'!BQ28*2.5+'Pop Cibles'!BR28*3</f>
        <v>77975.325651027917</v>
      </c>
      <c r="AC28" s="22">
        <f>'Pop Cibles'!N28*2</f>
        <v>0</v>
      </c>
      <c r="AD28" s="22">
        <f>'Pop Cibles'!AC28*2</f>
        <v>0</v>
      </c>
      <c r="AE28" s="22">
        <f>'Pop Cibles'!AR28*2</f>
        <v>0</v>
      </c>
      <c r="AF28" s="22">
        <f>'Pop Cibles'!BG28*2</f>
        <v>0</v>
      </c>
      <c r="AG28" s="22">
        <f>'Pop Cibles'!BV28*2</f>
        <v>0</v>
      </c>
      <c r="AH28" s="22">
        <f>'Pop Cibles'!O28*0.33</f>
        <v>0</v>
      </c>
      <c r="AI28" s="22">
        <f>'Pop Cibles'!AD28*0.33</f>
        <v>0</v>
      </c>
      <c r="AJ28" s="22">
        <f>'Pop Cibles'!AS28*0.33</f>
        <v>0</v>
      </c>
      <c r="AK28" s="22">
        <f>'Pop Cibles'!BH28*0.33</f>
        <v>0</v>
      </c>
      <c r="AL28" s="22">
        <f>'Pop Cibles'!BW28*0.33</f>
        <v>0</v>
      </c>
      <c r="AM28" s="22">
        <f>('Pop Cibles'!P28+'Pop Cibles'!Q28)*3</f>
        <v>0</v>
      </c>
      <c r="AN28" s="22">
        <f>('Pop Cibles'!AE28+'Pop Cibles'!AF28)*3</f>
        <v>0</v>
      </c>
      <c r="AO28" s="22">
        <f>('Pop Cibles'!AT28+'Pop Cibles'!AU28)*3</f>
        <v>0</v>
      </c>
      <c r="AP28" s="22">
        <f>('Pop Cibles'!BI28+'Pop Cibles'!BJ28)*3</f>
        <v>0</v>
      </c>
      <c r="AQ28" s="22">
        <f>('Pop Cibles'!BY28+'Pop Cibles'!BY28)*3</f>
        <v>0</v>
      </c>
    </row>
    <row r="29" spans="1:43" s="5" customFormat="1" ht="12" customHeight="1">
      <c r="A29" s="19">
        <v>26</v>
      </c>
      <c r="B29" s="20" t="str">
        <f>'Pop Cibles'!B29</f>
        <v>LABE</v>
      </c>
      <c r="C29" s="21" t="str">
        <f>Population!C29</f>
        <v>Labé</v>
      </c>
      <c r="D29" s="22">
        <f>IF(SUM('Plan annuel Différentes Maladie'!K$4:K$996)&gt;0,(MAX('Pop Cibles'!E29,'Pop Cibles'!G29)+MAX('Pop Cibles'!F29,'Pop Cibles'!H29))*2.8,0)</f>
        <v>0</v>
      </c>
      <c r="E29" s="22">
        <f>IF(SUM('Plan annuel Différentes Maladie'!K$4:K$996)&gt;0,(MAX('Pop Cibles'!T29,'Pop Cibles'!V29)+MAX('Pop Cibles'!U29,'Pop Cibles'!W29))*2.8,0)</f>
        <v>0</v>
      </c>
      <c r="F29" s="22">
        <f>IF(SUM('Plan annuel Différentes Maladie'!K$4:K$996)&gt;0,(MAX('Pop Cibles'!AI29,'Pop Cibles'!AK29)+MAX('Pop Cibles'!AJ29,'Pop Cibles'!AL29))*2.8,0)</f>
        <v>0</v>
      </c>
      <c r="G29" s="22">
        <f>IF(SUM('Plan annuel Différentes Maladie'!K$4:K$996)&gt;0,(MAX('Pop Cibles'!AX29,'Pop Cibles'!AZ29)+MAX('Pop Cibles'!AY29,'Pop Cibles'!BA29))*2.8,0)</f>
        <v>0</v>
      </c>
      <c r="H29" s="22">
        <f>IF(SUM('Plan annuel Différentes Maladie'!K$4:K$996)&gt;0,(MAX('Pop Cibles'!BM29,'Pop Cibles'!BO29)+MAX('Pop Cibles'!BN29,'Pop Cibles'!BP29))*2.8,0)</f>
        <v>0</v>
      </c>
      <c r="I29" s="22">
        <f>IF(SUM('Plan annuel Différentes Maladie'!K$4:K$996)=0,('Pop Cibles'!D29+'Pop Cibles'!E29+'Pop Cibles'!F29)*2.5,0)</f>
        <v>0</v>
      </c>
      <c r="J29" s="22">
        <f>IF(SUM('Plan annuel Différentes Maladie'!K$4:K$996)=0,('Pop Cibles'!S29+'Pop Cibles'!T29+'Pop Cibles'!U29)*2.5,0)</f>
        <v>0</v>
      </c>
      <c r="K29" s="22">
        <f>IF(SUM('Plan annuel Différentes Maladie'!K$4:K$996)=0,('Pop Cibles'!AH29+'Pop Cibles'!AI29+'Pop Cibles'!AJ29)*2.5,0)</f>
        <v>0</v>
      </c>
      <c r="L29" s="22">
        <f>IF(SUM('Plan annuel Différentes Maladie'!K$4:K$996)=0,('Pop Cibles'!AW29+'Pop Cibles'!AX29+'Pop Cibles'!AY29)*2.5,0)</f>
        <v>0</v>
      </c>
      <c r="M29" s="22">
        <f>IF(SUM('Plan annuel Différentes Maladie'!K$4:K$996)=0,('Pop Cibles'!BL29+'Pop Cibles'!BM29+'Pop Cibles'!BN29)*2.5,0)</f>
        <v>0</v>
      </c>
      <c r="N29" s="22">
        <f>'Pop Cibles'!D29+'Pop Cibles'!E29+'Pop Cibles'!F29</f>
        <v>0</v>
      </c>
      <c r="O29" s="22">
        <f>'Pop Cibles'!S29+'Pop Cibles'!T29+'Pop Cibles'!U29</f>
        <v>0</v>
      </c>
      <c r="P29" s="22">
        <f>'Pop Cibles'!AH29+'Pop Cibles'!AI29+'Pop Cibles'!AJ29</f>
        <v>0</v>
      </c>
      <c r="Q29" s="22">
        <f>'Pop Cibles'!AW29+'Pop Cibles'!AX29+'Pop Cibles'!AY29</f>
        <v>0</v>
      </c>
      <c r="R29" s="22">
        <f>'Pop Cibles'!BL29+'Pop Cibles'!BM29+'Pop Cibles'!BN29</f>
        <v>0</v>
      </c>
      <c r="S29" s="22">
        <f>IF('Pop Cibles'!D29&lt;'Pop Cibles'!K29,'Pop Cibles'!K29,0)+IF('Pop Cibles'!E29&lt;'Pop Cibles'!L29,'Pop Cibles'!L29,0)+IF('Pop Cibles'!F29&lt;'Pop Cibles'!M29,'Pop Cibles'!M29,0)</f>
        <v>0</v>
      </c>
      <c r="T29" s="22">
        <f>IF('Pop Cibles'!S29&lt;'Pop Cibles'!Z29,'Pop Cibles'!Z29,0)+IF('Pop Cibles'!T29&lt;'Pop Cibles'!AA29,'Pop Cibles'!AA29,0)+IF('Pop Cibles'!U29&lt;'Pop Cibles'!AB29,'Pop Cibles'!AB29,0)</f>
        <v>0</v>
      </c>
      <c r="U29" s="22">
        <f>IF('Pop Cibles'!AH29&lt;'Pop Cibles'!AO29,'Pop Cibles'!AO29,0)+IF('Pop Cibles'!AI29&lt;'Pop Cibles'!AP29,'Pop Cibles'!AP29,0)+IF('Pop Cibles'!AJ29&lt;'Pop Cibles'!AQ29,'Pop Cibles'!AQ29,0)</f>
        <v>0</v>
      </c>
      <c r="V29" s="22">
        <f>IF('Pop Cibles'!AW29&lt;'Pop Cibles'!BD29,'Pop Cibles'!BD29,0)+IF('Pop Cibles'!AX29&lt;'Pop Cibles'!BE29,'Pop Cibles'!BE29,0)+IF('Pop Cibles'!AY29&lt;'Pop Cibles'!BF29,'Pop Cibles'!BF29,0)</f>
        <v>0</v>
      </c>
      <c r="W29" s="22">
        <f>IF('Pop Cibles'!BL29&lt;'Pop Cibles'!BS29,'Pop Cibles'!BS29,0)+IF('Pop Cibles'!BM29&lt;'Pop Cibles'!BT29,'Pop Cibles'!BT29,0)+IF('Pop Cibles'!BN29&lt;'Pop Cibles'!BU29,'Pop Cibles'!BU29,0)</f>
        <v>0</v>
      </c>
      <c r="X29" s="22">
        <f>'Pop Cibles'!I29*2.5+'Pop Cibles'!J29*3</f>
        <v>0</v>
      </c>
      <c r="Y29" s="22">
        <f>'Pop Cibles'!X29*2.5+'Pop Cibles'!Y29*3</f>
        <v>0</v>
      </c>
      <c r="Z29" s="22">
        <f>'Pop Cibles'!AM29*2.5+'Pop Cibles'!AN29*3</f>
        <v>243446.61492937495</v>
      </c>
      <c r="AA29" s="22">
        <f>'Pop Cibles'!BB29*2.5+'Pop Cibles'!BC29*3</f>
        <v>0</v>
      </c>
      <c r="AB29" s="22">
        <f>'Pop Cibles'!BQ29*2.5+'Pop Cibles'!BR29*3</f>
        <v>0</v>
      </c>
      <c r="AC29" s="22">
        <f>'Pop Cibles'!N29*2</f>
        <v>0</v>
      </c>
      <c r="AD29" s="22">
        <f>'Pop Cibles'!AC29*2</f>
        <v>0</v>
      </c>
      <c r="AE29" s="22">
        <f>'Pop Cibles'!AR29*2</f>
        <v>0</v>
      </c>
      <c r="AF29" s="22">
        <f>'Pop Cibles'!BG29*2</f>
        <v>0</v>
      </c>
      <c r="AG29" s="22">
        <f>'Pop Cibles'!BV29*2</f>
        <v>0</v>
      </c>
      <c r="AH29" s="22">
        <f>'Pop Cibles'!O29*0.33</f>
        <v>0</v>
      </c>
      <c r="AI29" s="22">
        <f>'Pop Cibles'!AD29*0.33</f>
        <v>0</v>
      </c>
      <c r="AJ29" s="22">
        <f>'Pop Cibles'!AS29*0.33</f>
        <v>0</v>
      </c>
      <c r="AK29" s="22">
        <f>'Pop Cibles'!BH29*0.33</f>
        <v>0</v>
      </c>
      <c r="AL29" s="22">
        <f>'Pop Cibles'!BW29*0.33</f>
        <v>0</v>
      </c>
      <c r="AM29" s="22">
        <f>('Pop Cibles'!P29+'Pop Cibles'!Q29)*3</f>
        <v>0</v>
      </c>
      <c r="AN29" s="22">
        <f>('Pop Cibles'!AE29+'Pop Cibles'!AF29)*3</f>
        <v>0</v>
      </c>
      <c r="AO29" s="22">
        <f>('Pop Cibles'!AT29+'Pop Cibles'!AU29)*3</f>
        <v>0</v>
      </c>
      <c r="AP29" s="22">
        <f>('Pop Cibles'!BI29+'Pop Cibles'!BJ29)*3</f>
        <v>0</v>
      </c>
      <c r="AQ29" s="22">
        <f>('Pop Cibles'!BY29+'Pop Cibles'!BY29)*3</f>
        <v>0</v>
      </c>
    </row>
    <row r="30" spans="1:43" s="5" customFormat="1" ht="12" customHeight="1">
      <c r="A30" s="19">
        <v>27</v>
      </c>
      <c r="B30" s="20" t="str">
        <f>'Pop Cibles'!B30</f>
        <v>LABE</v>
      </c>
      <c r="C30" s="21" t="str">
        <f>Population!C30</f>
        <v>Lélouma</v>
      </c>
      <c r="D30" s="22">
        <f>IF(SUM('Plan annuel Différentes Maladie'!K$4:K$996)&gt;0,(MAX('Pop Cibles'!E30,'Pop Cibles'!G30)+MAX('Pop Cibles'!F30,'Pop Cibles'!H30))*2.8,0)</f>
        <v>471340.79999999999</v>
      </c>
      <c r="E30" s="22">
        <f>IF(SUM('Plan annuel Différentes Maladie'!K$4:K$996)&gt;0,(MAX('Pop Cibles'!T30,'Pop Cibles'!V30)+MAX('Pop Cibles'!U30,'Pop Cibles'!W30))*2.8,0)</f>
        <v>484067.00159999984</v>
      </c>
      <c r="F30" s="22">
        <f>IF(SUM('Plan annuel Différentes Maladie'!K$4:K$996)&gt;0,(MAX('Pop Cibles'!AI30,'Pop Cibles'!AK30)+MAX('Pop Cibles'!AJ30,'Pop Cibles'!AL30))*2.8,0)</f>
        <v>497136.81064319977</v>
      </c>
      <c r="G30" s="22">
        <f>IF(SUM('Plan annuel Différentes Maladie'!K$4:K$996)&gt;0,(MAX('Pop Cibles'!AX30,'Pop Cibles'!AZ30)+MAX('Pop Cibles'!AY30,'Pop Cibles'!BA30))*2.8,0)</f>
        <v>510559.50453056616</v>
      </c>
      <c r="H30" s="22">
        <f>IF(SUM('Plan annuel Différentes Maladie'!K$4:K$996)&gt;0,(MAX('Pop Cibles'!BM30,'Pop Cibles'!BO30)+MAX('Pop Cibles'!BN30,'Pop Cibles'!BP30))*2.8,0)</f>
        <v>524344.61115289142</v>
      </c>
      <c r="I30" s="22">
        <f>IF(SUM('Plan annuel Différentes Maladie'!K$4:K$996)=0,('Pop Cibles'!D30+'Pop Cibles'!E30+'Pop Cibles'!F30)*2.5,0)</f>
        <v>0</v>
      </c>
      <c r="J30" s="22">
        <f>IF(SUM('Plan annuel Différentes Maladie'!K$4:K$996)=0,('Pop Cibles'!S30+'Pop Cibles'!T30+'Pop Cibles'!U30)*2.5,0)</f>
        <v>0</v>
      </c>
      <c r="K30" s="22">
        <f>IF(SUM('Plan annuel Différentes Maladie'!K$4:K$996)=0,('Pop Cibles'!AH30+'Pop Cibles'!AI30+'Pop Cibles'!AJ30)*2.5,0)</f>
        <v>0</v>
      </c>
      <c r="L30" s="22">
        <f>IF(SUM('Plan annuel Différentes Maladie'!K$4:K$996)=0,('Pop Cibles'!AW30+'Pop Cibles'!AX30+'Pop Cibles'!AY30)*2.5,0)</f>
        <v>0</v>
      </c>
      <c r="M30" s="22">
        <f>IF(SUM('Plan annuel Différentes Maladie'!K$4:K$996)=0,('Pop Cibles'!BL30+'Pop Cibles'!BM30+'Pop Cibles'!BN30)*2.5,0)</f>
        <v>0</v>
      </c>
      <c r="N30" s="22">
        <f>'Pop Cibles'!D30+'Pop Cibles'!E30+'Pop Cibles'!F30</f>
        <v>168336</v>
      </c>
      <c r="O30" s="22">
        <f>'Pop Cibles'!S30+'Pop Cibles'!T30+'Pop Cibles'!U30</f>
        <v>172881.07199999996</v>
      </c>
      <c r="P30" s="22">
        <f>'Pop Cibles'!AH30+'Pop Cibles'!AI30+'Pop Cibles'!AJ30</f>
        <v>177548.86094399993</v>
      </c>
      <c r="Q30" s="22">
        <f>'Pop Cibles'!AW30+'Pop Cibles'!AX30+'Pop Cibles'!AY30</f>
        <v>182342.68018948793</v>
      </c>
      <c r="R30" s="22">
        <f>'Pop Cibles'!BL30+'Pop Cibles'!BM30+'Pop Cibles'!BN30</f>
        <v>187265.93255460408</v>
      </c>
      <c r="S30" s="22">
        <f>IF('Pop Cibles'!D30&lt;'Pop Cibles'!K30,'Pop Cibles'!K30,0)+IF('Pop Cibles'!E30&lt;'Pop Cibles'!L30,'Pop Cibles'!L30,0)+IF('Pop Cibles'!F30&lt;'Pop Cibles'!M30,'Pop Cibles'!M30,0)</f>
        <v>254608.2</v>
      </c>
      <c r="T30" s="22">
        <f>IF('Pop Cibles'!S30&lt;'Pop Cibles'!Z30,'Pop Cibles'!Z30,0)+IF('Pop Cibles'!T30&lt;'Pop Cibles'!AA30,'Pop Cibles'!AA30,0)+IF('Pop Cibles'!U30&lt;'Pop Cibles'!AB30,'Pop Cibles'!AB30,0)</f>
        <v>207457.28639999998</v>
      </c>
      <c r="U30" s="22">
        <f>IF('Pop Cibles'!AH30&lt;'Pop Cibles'!AO30,'Pop Cibles'!AO30,0)+IF('Pop Cibles'!AI30&lt;'Pop Cibles'!AP30,'Pop Cibles'!AP30,0)+IF('Pop Cibles'!AJ30&lt;'Pop Cibles'!AQ30,'Pop Cibles'!AQ30,0)</f>
        <v>213058.63313279994</v>
      </c>
      <c r="V30" s="22">
        <f>IF('Pop Cibles'!AW30&lt;'Pop Cibles'!BD30,'Pop Cibles'!BD30,0)+IF('Pop Cibles'!AX30&lt;'Pop Cibles'!BE30,'Pop Cibles'!BE30,0)+IF('Pop Cibles'!AY30&lt;'Pop Cibles'!BF30,'Pop Cibles'!BF30,0)</f>
        <v>218811.21622738551</v>
      </c>
      <c r="W30" s="22">
        <f>IF('Pop Cibles'!BL30&lt;'Pop Cibles'!BS30,'Pop Cibles'!BS30,0)+IF('Pop Cibles'!BM30&lt;'Pop Cibles'!BT30,'Pop Cibles'!BT30,0)+IF('Pop Cibles'!BN30&lt;'Pop Cibles'!BU30,'Pop Cibles'!BU30,0)</f>
        <v>224719.11906552489</v>
      </c>
      <c r="X30" s="22">
        <f>'Pop Cibles'!I30*2.5+'Pop Cibles'!J30*3</f>
        <v>131512.5</v>
      </c>
      <c r="Y30" s="22">
        <f>'Pop Cibles'!X30*2.5+'Pop Cibles'!Y30*3</f>
        <v>135063.33749999997</v>
      </c>
      <c r="Z30" s="22">
        <f>'Pop Cibles'!AM30*2.5+'Pop Cibles'!AN30*3</f>
        <v>138710.04761249997</v>
      </c>
      <c r="AA30" s="22">
        <f>'Pop Cibles'!BB30*2.5+'Pop Cibles'!BC30*3</f>
        <v>142455.21889803745</v>
      </c>
      <c r="AB30" s="22">
        <f>'Pop Cibles'!BQ30*2.5+'Pop Cibles'!BR30*3</f>
        <v>146301.50980828446</v>
      </c>
      <c r="AC30" s="22">
        <f>'Pop Cibles'!N30*2</f>
        <v>0</v>
      </c>
      <c r="AD30" s="22">
        <f>'Pop Cibles'!AC30*2</f>
        <v>0</v>
      </c>
      <c r="AE30" s="22">
        <f>'Pop Cibles'!AR30*2</f>
        <v>0</v>
      </c>
      <c r="AF30" s="22">
        <f>'Pop Cibles'!BG30*2</f>
        <v>0</v>
      </c>
      <c r="AG30" s="22">
        <f>'Pop Cibles'!BV30*2</f>
        <v>0</v>
      </c>
      <c r="AH30" s="22">
        <f>'Pop Cibles'!O30*0.33</f>
        <v>0</v>
      </c>
      <c r="AI30" s="22">
        <f>'Pop Cibles'!AD30*0.33</f>
        <v>0</v>
      </c>
      <c r="AJ30" s="22">
        <f>'Pop Cibles'!AS30*0.33</f>
        <v>0</v>
      </c>
      <c r="AK30" s="22">
        <f>'Pop Cibles'!BH30*0.33</f>
        <v>0</v>
      </c>
      <c r="AL30" s="22">
        <f>'Pop Cibles'!BW30*0.33</f>
        <v>0</v>
      </c>
      <c r="AM30" s="22">
        <f>('Pop Cibles'!P30+'Pop Cibles'!Q30)*3</f>
        <v>0</v>
      </c>
      <c r="AN30" s="22">
        <f>('Pop Cibles'!AE30+'Pop Cibles'!AF30)*3</f>
        <v>0</v>
      </c>
      <c r="AO30" s="22">
        <f>('Pop Cibles'!AT30+'Pop Cibles'!AU30)*3</f>
        <v>0</v>
      </c>
      <c r="AP30" s="22">
        <f>('Pop Cibles'!BI30+'Pop Cibles'!BJ30)*3</f>
        <v>0</v>
      </c>
      <c r="AQ30" s="22">
        <f>('Pop Cibles'!BY30+'Pop Cibles'!BY30)*3</f>
        <v>0</v>
      </c>
    </row>
    <row r="31" spans="1:43" s="5" customFormat="1" ht="12">
      <c r="A31" s="19">
        <v>28</v>
      </c>
      <c r="B31" s="20" t="e">
        <f>'Pop Cibles'!B31</f>
        <v>#REF!</v>
      </c>
      <c r="C31" s="21" t="e">
        <f>Population!#REF!</f>
        <v>#REF!</v>
      </c>
      <c r="D31" s="22" t="e">
        <f>IF(SUM('Plan annuel Différentes Maladie'!K$4:K$996)&gt;0,(MAX('Pop Cibles'!E31,'Pop Cibles'!G31)+MAX('Pop Cibles'!F31,'Pop Cibles'!H31))*2.8,0)</f>
        <v>#REF!</v>
      </c>
      <c r="E31" s="22" t="e">
        <f>IF(SUM('Plan annuel Différentes Maladie'!K$4:K$996)&gt;0,(MAX('Pop Cibles'!T31,'Pop Cibles'!V31)+MAX('Pop Cibles'!U31,'Pop Cibles'!W31))*2.8,0)</f>
        <v>#REF!</v>
      </c>
      <c r="F31" s="22" t="e">
        <f>IF(SUM('Plan annuel Différentes Maladie'!K$4:K$996)&gt;0,(MAX('Pop Cibles'!AI31,'Pop Cibles'!AK31)+MAX('Pop Cibles'!AJ31,'Pop Cibles'!AL31))*2.8,0)</f>
        <v>#REF!</v>
      </c>
      <c r="G31" s="22" t="e">
        <f>IF(SUM('Plan annuel Différentes Maladie'!K$4:K$996)&gt;0,(MAX('Pop Cibles'!AX31,'Pop Cibles'!AZ31)+MAX('Pop Cibles'!AY31,'Pop Cibles'!BA31))*2.8,0)</f>
        <v>#REF!</v>
      </c>
      <c r="H31" s="22" t="e">
        <f>IF(SUM('Plan annuel Différentes Maladie'!K$4:K$996)&gt;0,(MAX('Pop Cibles'!BM31,'Pop Cibles'!BO31)+MAX('Pop Cibles'!BN31,'Pop Cibles'!BP31))*2.8,0)</f>
        <v>#REF!</v>
      </c>
      <c r="I31" s="22">
        <f>IF(SUM('Plan annuel Différentes Maladie'!K$4:K$996)=0,('Pop Cibles'!D31+'Pop Cibles'!E31+'Pop Cibles'!F31)*2.5,0)</f>
        <v>0</v>
      </c>
      <c r="J31" s="22">
        <f>IF(SUM('Plan annuel Différentes Maladie'!K$4:K$996)=0,('Pop Cibles'!S31+'Pop Cibles'!T31+'Pop Cibles'!U31)*2.5,0)</f>
        <v>0</v>
      </c>
      <c r="K31" s="22">
        <f>IF(SUM('Plan annuel Différentes Maladie'!K$4:K$996)=0,('Pop Cibles'!AH31+'Pop Cibles'!AI31+'Pop Cibles'!AJ31)*2.5,0)</f>
        <v>0</v>
      </c>
      <c r="L31" s="22">
        <f>IF(SUM('Plan annuel Différentes Maladie'!K$4:K$996)=0,('Pop Cibles'!AW31+'Pop Cibles'!AX31+'Pop Cibles'!AY31)*2.5,0)</f>
        <v>0</v>
      </c>
      <c r="M31" s="22">
        <f>IF(SUM('Plan annuel Différentes Maladie'!K$4:K$996)=0,('Pop Cibles'!BL31+'Pop Cibles'!BM31+'Pop Cibles'!BN31)*2.5,0)</f>
        <v>0</v>
      </c>
      <c r="N31" s="22" t="e">
        <f>'Pop Cibles'!D31+'Pop Cibles'!E31+'Pop Cibles'!F31</f>
        <v>#REF!</v>
      </c>
      <c r="O31" s="22" t="e">
        <f>'Pop Cibles'!S31+'Pop Cibles'!T31+'Pop Cibles'!U31</f>
        <v>#REF!</v>
      </c>
      <c r="P31" s="22" t="e">
        <f>'Pop Cibles'!AH31+'Pop Cibles'!AI31+'Pop Cibles'!AJ31</f>
        <v>#REF!</v>
      </c>
      <c r="Q31" s="22" t="e">
        <f>'Pop Cibles'!AW31+'Pop Cibles'!AX31+'Pop Cibles'!AY31</f>
        <v>#REF!</v>
      </c>
      <c r="R31" s="22" t="e">
        <f>'Pop Cibles'!BL31+'Pop Cibles'!BM31+'Pop Cibles'!BN31</f>
        <v>#REF!</v>
      </c>
      <c r="S31" s="22" t="e">
        <f>IF('Pop Cibles'!D31&lt;'Pop Cibles'!K31,'Pop Cibles'!K31,0)+IF('Pop Cibles'!E31&lt;'Pop Cibles'!L31,'Pop Cibles'!L31,0)+IF('Pop Cibles'!F31&lt;'Pop Cibles'!M31,'Pop Cibles'!M31,0)</f>
        <v>#REF!</v>
      </c>
      <c r="T31" s="22" t="e">
        <f>IF('Pop Cibles'!S31&lt;'Pop Cibles'!Z31,'Pop Cibles'!Z31,0)+IF('Pop Cibles'!T31&lt;'Pop Cibles'!AA31,'Pop Cibles'!AA31,0)+IF('Pop Cibles'!U31&lt;'Pop Cibles'!AB31,'Pop Cibles'!AB31,0)</f>
        <v>#REF!</v>
      </c>
      <c r="U31" s="22" t="e">
        <f>IF('Pop Cibles'!AH31&lt;'Pop Cibles'!AO31,'Pop Cibles'!AO31,0)+IF('Pop Cibles'!AI31&lt;'Pop Cibles'!AP31,'Pop Cibles'!AP31,0)+IF('Pop Cibles'!AJ31&lt;'Pop Cibles'!AQ31,'Pop Cibles'!AQ31,0)</f>
        <v>#REF!</v>
      </c>
      <c r="V31" s="22" t="e">
        <f>IF('Pop Cibles'!AW31&lt;'Pop Cibles'!BD31,'Pop Cibles'!BD31,0)+IF('Pop Cibles'!AX31&lt;'Pop Cibles'!BE31,'Pop Cibles'!BE31,0)+IF('Pop Cibles'!AY31&lt;'Pop Cibles'!BF31,'Pop Cibles'!BF31,0)</f>
        <v>#REF!</v>
      </c>
      <c r="W31" s="22" t="e">
        <f>IF('Pop Cibles'!BL31&lt;'Pop Cibles'!BS31,'Pop Cibles'!BS31,0)+IF('Pop Cibles'!BM31&lt;'Pop Cibles'!BT31,'Pop Cibles'!BT31,0)+IF('Pop Cibles'!BN31&lt;'Pop Cibles'!BU31,'Pop Cibles'!BU31,0)</f>
        <v>#REF!</v>
      </c>
      <c r="X31" s="22" t="e">
        <f>'Pop Cibles'!I31*2.5+'Pop Cibles'!J31*3</f>
        <v>#REF!</v>
      </c>
      <c r="Y31" s="22" t="e">
        <f>'Pop Cibles'!X31*2.5+'Pop Cibles'!Y31*3</f>
        <v>#REF!</v>
      </c>
      <c r="Z31" s="22" t="e">
        <f>'Pop Cibles'!AM31*2.5+'Pop Cibles'!AN31*3</f>
        <v>#REF!</v>
      </c>
      <c r="AA31" s="22" t="e">
        <f>'Pop Cibles'!BB31*2.5+'Pop Cibles'!BC31*3</f>
        <v>#REF!</v>
      </c>
      <c r="AB31" s="22" t="e">
        <f>'Pop Cibles'!BQ31*2.5+'Pop Cibles'!BR31*3</f>
        <v>#REF!</v>
      </c>
      <c r="AC31" s="22" t="e">
        <f>'Pop Cibles'!N31*2</f>
        <v>#REF!</v>
      </c>
      <c r="AD31" s="22" t="e">
        <f>'Pop Cibles'!AC31*2</f>
        <v>#REF!</v>
      </c>
      <c r="AE31" s="22" t="e">
        <f>'Pop Cibles'!AR31*2</f>
        <v>#REF!</v>
      </c>
      <c r="AF31" s="22" t="e">
        <f>'Pop Cibles'!BG31*2</f>
        <v>#REF!</v>
      </c>
      <c r="AG31" s="22" t="e">
        <f>'Pop Cibles'!BV31*2</f>
        <v>#REF!</v>
      </c>
      <c r="AH31" s="22" t="e">
        <f>'Pop Cibles'!O31*0.33</f>
        <v>#REF!</v>
      </c>
      <c r="AI31" s="22" t="e">
        <f>'Pop Cibles'!AD31*0.33</f>
        <v>#REF!</v>
      </c>
      <c r="AJ31" s="22" t="e">
        <f>'Pop Cibles'!AS31*0.33</f>
        <v>#REF!</v>
      </c>
      <c r="AK31" s="22" t="e">
        <f>'Pop Cibles'!BH31*0.33</f>
        <v>#REF!</v>
      </c>
      <c r="AL31" s="22" t="e">
        <f>'Pop Cibles'!BW31*0.33</f>
        <v>#REF!</v>
      </c>
      <c r="AM31" s="22" t="e">
        <f>('Pop Cibles'!P31+'Pop Cibles'!Q31)*3</f>
        <v>#REF!</v>
      </c>
      <c r="AN31" s="22" t="e">
        <f>('Pop Cibles'!AE31+'Pop Cibles'!AF31)*3</f>
        <v>#REF!</v>
      </c>
      <c r="AO31" s="22" t="e">
        <f>('Pop Cibles'!AT31+'Pop Cibles'!AU31)*3</f>
        <v>#REF!</v>
      </c>
      <c r="AP31" s="22" t="e">
        <f>('Pop Cibles'!BI31+'Pop Cibles'!BJ31)*3</f>
        <v>#REF!</v>
      </c>
      <c r="AQ31" s="22" t="e">
        <f>('Pop Cibles'!BY31+'Pop Cibles'!BY31)*3</f>
        <v>#REF!</v>
      </c>
    </row>
    <row r="32" spans="1:43" s="5" customFormat="1" ht="12">
      <c r="A32" s="19">
        <v>29</v>
      </c>
      <c r="B32" s="20" t="e">
        <f>'Pop Cibles'!B32</f>
        <v>#REF!</v>
      </c>
      <c r="C32" s="21" t="e">
        <f>Population!#REF!</f>
        <v>#REF!</v>
      </c>
      <c r="D32" s="22" t="e">
        <f>IF(SUM('Plan annuel Différentes Maladie'!K$4:K$996)&gt;0,(MAX('Pop Cibles'!E32,'Pop Cibles'!G32)+MAX('Pop Cibles'!F32,'Pop Cibles'!H32))*2.8,0)</f>
        <v>#REF!</v>
      </c>
      <c r="E32" s="22" t="e">
        <f>IF(SUM('Plan annuel Différentes Maladie'!K$4:K$996)&gt;0,(MAX('Pop Cibles'!T32,'Pop Cibles'!V32)+MAX('Pop Cibles'!U32,'Pop Cibles'!W32))*2.8,0)</f>
        <v>#REF!</v>
      </c>
      <c r="F32" s="22" t="e">
        <f>IF(SUM('Plan annuel Différentes Maladie'!K$4:K$996)&gt;0,(MAX('Pop Cibles'!AI32,'Pop Cibles'!AK32)+MAX('Pop Cibles'!AJ32,'Pop Cibles'!AL32))*2.8,0)</f>
        <v>#REF!</v>
      </c>
      <c r="G32" s="22" t="e">
        <f>IF(SUM('Plan annuel Différentes Maladie'!K$4:K$996)&gt;0,(MAX('Pop Cibles'!AX32,'Pop Cibles'!AZ32)+MAX('Pop Cibles'!AY32,'Pop Cibles'!BA32))*2.8,0)</f>
        <v>#REF!</v>
      </c>
      <c r="H32" s="22" t="e">
        <f>IF(SUM('Plan annuel Différentes Maladie'!K$4:K$996)&gt;0,(MAX('Pop Cibles'!BM32,'Pop Cibles'!BO32)+MAX('Pop Cibles'!BN32,'Pop Cibles'!BP32))*2.8,0)</f>
        <v>#REF!</v>
      </c>
      <c r="I32" s="22">
        <f>IF(SUM('Plan annuel Différentes Maladie'!K$4:K$996)=0,('Pop Cibles'!D32+'Pop Cibles'!E32+'Pop Cibles'!F32)*2.5,0)</f>
        <v>0</v>
      </c>
      <c r="J32" s="22">
        <f>IF(SUM('Plan annuel Différentes Maladie'!K$4:K$996)=0,('Pop Cibles'!S32+'Pop Cibles'!T32+'Pop Cibles'!U32)*2.5,0)</f>
        <v>0</v>
      </c>
      <c r="K32" s="22">
        <f>IF(SUM('Plan annuel Différentes Maladie'!K$4:K$996)=0,('Pop Cibles'!AH32+'Pop Cibles'!AI32+'Pop Cibles'!AJ32)*2.5,0)</f>
        <v>0</v>
      </c>
      <c r="L32" s="22">
        <f>IF(SUM('Plan annuel Différentes Maladie'!K$4:K$996)=0,('Pop Cibles'!AW32+'Pop Cibles'!AX32+'Pop Cibles'!AY32)*2.5,0)</f>
        <v>0</v>
      </c>
      <c r="M32" s="22">
        <f>IF(SUM('Plan annuel Différentes Maladie'!K$4:K$996)=0,('Pop Cibles'!BL32+'Pop Cibles'!BM32+'Pop Cibles'!BN32)*2.5,0)</f>
        <v>0</v>
      </c>
      <c r="N32" s="22" t="e">
        <f>'Pop Cibles'!D32+'Pop Cibles'!E32+'Pop Cibles'!F32</f>
        <v>#REF!</v>
      </c>
      <c r="O32" s="22" t="e">
        <f>'Pop Cibles'!S32+'Pop Cibles'!T32+'Pop Cibles'!U32</f>
        <v>#REF!</v>
      </c>
      <c r="P32" s="22" t="e">
        <f>'Pop Cibles'!AH32+'Pop Cibles'!AI32+'Pop Cibles'!AJ32</f>
        <v>#REF!</v>
      </c>
      <c r="Q32" s="22" t="e">
        <f>'Pop Cibles'!AW32+'Pop Cibles'!AX32+'Pop Cibles'!AY32</f>
        <v>#REF!</v>
      </c>
      <c r="R32" s="22" t="e">
        <f>'Pop Cibles'!BL32+'Pop Cibles'!BM32+'Pop Cibles'!BN32</f>
        <v>#REF!</v>
      </c>
      <c r="S32" s="22" t="e">
        <f>IF('Pop Cibles'!D32&lt;'Pop Cibles'!K32,'Pop Cibles'!K32,0)+IF('Pop Cibles'!E32&lt;'Pop Cibles'!L32,'Pop Cibles'!L32,0)+IF('Pop Cibles'!F32&lt;'Pop Cibles'!M32,'Pop Cibles'!M32,0)</f>
        <v>#REF!</v>
      </c>
      <c r="T32" s="22" t="e">
        <f>IF('Pop Cibles'!S32&lt;'Pop Cibles'!Z32,'Pop Cibles'!Z32,0)+IF('Pop Cibles'!T32&lt;'Pop Cibles'!AA32,'Pop Cibles'!AA32,0)+IF('Pop Cibles'!U32&lt;'Pop Cibles'!AB32,'Pop Cibles'!AB32,0)</f>
        <v>#REF!</v>
      </c>
      <c r="U32" s="22" t="e">
        <f>IF('Pop Cibles'!AH32&lt;'Pop Cibles'!AO32,'Pop Cibles'!AO32,0)+IF('Pop Cibles'!AI32&lt;'Pop Cibles'!AP32,'Pop Cibles'!AP32,0)+IF('Pop Cibles'!AJ32&lt;'Pop Cibles'!AQ32,'Pop Cibles'!AQ32,0)</f>
        <v>#REF!</v>
      </c>
      <c r="V32" s="22" t="e">
        <f>IF('Pop Cibles'!AW32&lt;'Pop Cibles'!BD32,'Pop Cibles'!BD32,0)+IF('Pop Cibles'!AX32&lt;'Pop Cibles'!BE32,'Pop Cibles'!BE32,0)+IF('Pop Cibles'!AY32&lt;'Pop Cibles'!BF32,'Pop Cibles'!BF32,0)</f>
        <v>#REF!</v>
      </c>
      <c r="W32" s="22" t="e">
        <f>IF('Pop Cibles'!BL32&lt;'Pop Cibles'!BS32,'Pop Cibles'!BS32,0)+IF('Pop Cibles'!BM32&lt;'Pop Cibles'!BT32,'Pop Cibles'!BT32,0)+IF('Pop Cibles'!BN32&lt;'Pop Cibles'!BU32,'Pop Cibles'!BU32,0)</f>
        <v>#REF!</v>
      </c>
      <c r="X32" s="22" t="e">
        <f>'Pop Cibles'!I32*2.5+'Pop Cibles'!J32*3</f>
        <v>#REF!</v>
      </c>
      <c r="Y32" s="22" t="e">
        <f>'Pop Cibles'!X32*2.5+'Pop Cibles'!Y32*3</f>
        <v>#REF!</v>
      </c>
      <c r="Z32" s="22" t="e">
        <f>'Pop Cibles'!AM32*2.5+'Pop Cibles'!AN32*3</f>
        <v>#REF!</v>
      </c>
      <c r="AA32" s="22" t="e">
        <f>'Pop Cibles'!BB32*2.5+'Pop Cibles'!BC32*3</f>
        <v>#REF!</v>
      </c>
      <c r="AB32" s="22" t="e">
        <f>'Pop Cibles'!BQ32*2.5+'Pop Cibles'!BR32*3</f>
        <v>#REF!</v>
      </c>
      <c r="AC32" s="22" t="e">
        <f>'Pop Cibles'!N32*2</f>
        <v>#REF!</v>
      </c>
      <c r="AD32" s="22" t="e">
        <f>'Pop Cibles'!AC32*2</f>
        <v>#REF!</v>
      </c>
      <c r="AE32" s="22" t="e">
        <f>'Pop Cibles'!AR32*2</f>
        <v>#REF!</v>
      </c>
      <c r="AF32" s="22" t="e">
        <f>'Pop Cibles'!BG32*2</f>
        <v>#REF!</v>
      </c>
      <c r="AG32" s="22" t="e">
        <f>'Pop Cibles'!BV32*2</f>
        <v>#REF!</v>
      </c>
      <c r="AH32" s="22" t="e">
        <f>'Pop Cibles'!O32*0.33</f>
        <v>#REF!</v>
      </c>
      <c r="AI32" s="22" t="e">
        <f>'Pop Cibles'!AD32*0.33</f>
        <v>#REF!</v>
      </c>
      <c r="AJ32" s="22" t="e">
        <f>'Pop Cibles'!AS32*0.33</f>
        <v>#REF!</v>
      </c>
      <c r="AK32" s="22" t="e">
        <f>'Pop Cibles'!BH32*0.33</f>
        <v>#REF!</v>
      </c>
      <c r="AL32" s="22" t="e">
        <f>'Pop Cibles'!BW32*0.33</f>
        <v>#REF!</v>
      </c>
      <c r="AM32" s="22" t="e">
        <f>('Pop Cibles'!P32+'Pop Cibles'!Q32)*3</f>
        <v>#REF!</v>
      </c>
      <c r="AN32" s="22" t="e">
        <f>('Pop Cibles'!AE32+'Pop Cibles'!AF32)*3</f>
        <v>#REF!</v>
      </c>
      <c r="AO32" s="22" t="e">
        <f>('Pop Cibles'!AT32+'Pop Cibles'!AU32)*3</f>
        <v>#REF!</v>
      </c>
      <c r="AP32" s="22" t="e">
        <f>('Pop Cibles'!BI32+'Pop Cibles'!BJ32)*3</f>
        <v>#REF!</v>
      </c>
      <c r="AQ32" s="22" t="e">
        <f>('Pop Cibles'!BY32+'Pop Cibles'!BY32)*3</f>
        <v>#REF!</v>
      </c>
    </row>
    <row r="33" spans="1:43" s="5" customFormat="1" ht="12">
      <c r="A33" s="19">
        <v>30</v>
      </c>
      <c r="B33" s="20" t="e">
        <f>'Pop Cibles'!B33</f>
        <v>#REF!</v>
      </c>
      <c r="C33" s="21" t="e">
        <f>Population!#REF!</f>
        <v>#REF!</v>
      </c>
      <c r="D33" s="22" t="e">
        <f>IF(SUM('Plan annuel Différentes Maladie'!K$4:K$996)&gt;0,(MAX('Pop Cibles'!E33,'Pop Cibles'!G33)+MAX('Pop Cibles'!F33,'Pop Cibles'!H33))*2.8,0)</f>
        <v>#REF!</v>
      </c>
      <c r="E33" s="22" t="e">
        <f>IF(SUM('Plan annuel Différentes Maladie'!K$4:K$996)&gt;0,(MAX('Pop Cibles'!T33,'Pop Cibles'!V33)+MAX('Pop Cibles'!U33,'Pop Cibles'!W33))*2.8,0)</f>
        <v>#REF!</v>
      </c>
      <c r="F33" s="22" t="e">
        <f>IF(SUM('Plan annuel Différentes Maladie'!K$4:K$996)&gt;0,(MAX('Pop Cibles'!AI33,'Pop Cibles'!AK33)+MAX('Pop Cibles'!AJ33,'Pop Cibles'!AL33))*2.8,0)</f>
        <v>#REF!</v>
      </c>
      <c r="G33" s="22" t="e">
        <f>IF(SUM('Plan annuel Différentes Maladie'!K$4:K$996)&gt;0,(MAX('Pop Cibles'!AX33,'Pop Cibles'!AZ33)+MAX('Pop Cibles'!AY33,'Pop Cibles'!BA33))*2.8,0)</f>
        <v>#REF!</v>
      </c>
      <c r="H33" s="22" t="e">
        <f>IF(SUM('Plan annuel Différentes Maladie'!K$4:K$996)&gt;0,(MAX('Pop Cibles'!BM33,'Pop Cibles'!BO33)+MAX('Pop Cibles'!BN33,'Pop Cibles'!BP33))*2.8,0)</f>
        <v>#REF!</v>
      </c>
      <c r="I33" s="22">
        <f>IF(SUM('Plan annuel Différentes Maladie'!K$4:K$996)=0,('Pop Cibles'!D33+'Pop Cibles'!E33+'Pop Cibles'!F33)*2.5,0)</f>
        <v>0</v>
      </c>
      <c r="J33" s="22">
        <f>IF(SUM('Plan annuel Différentes Maladie'!K$4:K$996)=0,('Pop Cibles'!S33+'Pop Cibles'!T33+'Pop Cibles'!U33)*2.5,0)</f>
        <v>0</v>
      </c>
      <c r="K33" s="22">
        <f>IF(SUM('Plan annuel Différentes Maladie'!K$4:K$996)=0,('Pop Cibles'!AH33+'Pop Cibles'!AI33+'Pop Cibles'!AJ33)*2.5,0)</f>
        <v>0</v>
      </c>
      <c r="L33" s="22">
        <f>IF(SUM('Plan annuel Différentes Maladie'!K$4:K$996)=0,('Pop Cibles'!AW33+'Pop Cibles'!AX33+'Pop Cibles'!AY33)*2.5,0)</f>
        <v>0</v>
      </c>
      <c r="M33" s="22">
        <f>IF(SUM('Plan annuel Différentes Maladie'!K$4:K$996)=0,('Pop Cibles'!BL33+'Pop Cibles'!BM33+'Pop Cibles'!BN33)*2.5,0)</f>
        <v>0</v>
      </c>
      <c r="N33" s="22" t="e">
        <f>'Pop Cibles'!D33+'Pop Cibles'!E33+'Pop Cibles'!F33</f>
        <v>#REF!</v>
      </c>
      <c r="O33" s="22" t="e">
        <f>'Pop Cibles'!S33+'Pop Cibles'!T33+'Pop Cibles'!U33</f>
        <v>#REF!</v>
      </c>
      <c r="P33" s="22" t="e">
        <f>'Pop Cibles'!AH33+'Pop Cibles'!AI33+'Pop Cibles'!AJ33</f>
        <v>#REF!</v>
      </c>
      <c r="Q33" s="22" t="e">
        <f>'Pop Cibles'!AW33+'Pop Cibles'!AX33+'Pop Cibles'!AY33</f>
        <v>#REF!</v>
      </c>
      <c r="R33" s="22" t="e">
        <f>'Pop Cibles'!BL33+'Pop Cibles'!BM33+'Pop Cibles'!BN33</f>
        <v>#REF!</v>
      </c>
      <c r="S33" s="22" t="e">
        <f>IF('Pop Cibles'!D33&lt;'Pop Cibles'!K33,'Pop Cibles'!K33,0)+IF('Pop Cibles'!E33&lt;'Pop Cibles'!L33,'Pop Cibles'!L33,0)+IF('Pop Cibles'!F33&lt;'Pop Cibles'!M33,'Pop Cibles'!M33,0)</f>
        <v>#REF!</v>
      </c>
      <c r="T33" s="22" t="e">
        <f>IF('Pop Cibles'!S33&lt;'Pop Cibles'!Z33,'Pop Cibles'!Z33,0)+IF('Pop Cibles'!T33&lt;'Pop Cibles'!AA33,'Pop Cibles'!AA33,0)+IF('Pop Cibles'!U33&lt;'Pop Cibles'!AB33,'Pop Cibles'!AB33,0)</f>
        <v>#REF!</v>
      </c>
      <c r="U33" s="22" t="e">
        <f>IF('Pop Cibles'!AH33&lt;'Pop Cibles'!AO33,'Pop Cibles'!AO33,0)+IF('Pop Cibles'!AI33&lt;'Pop Cibles'!AP33,'Pop Cibles'!AP33,0)+IF('Pop Cibles'!AJ33&lt;'Pop Cibles'!AQ33,'Pop Cibles'!AQ33,0)</f>
        <v>#REF!</v>
      </c>
      <c r="V33" s="22" t="e">
        <f>IF('Pop Cibles'!AW33&lt;'Pop Cibles'!BD33,'Pop Cibles'!BD33,0)+IF('Pop Cibles'!AX33&lt;'Pop Cibles'!BE33,'Pop Cibles'!BE33,0)+IF('Pop Cibles'!AY33&lt;'Pop Cibles'!BF33,'Pop Cibles'!BF33,0)</f>
        <v>#REF!</v>
      </c>
      <c r="W33" s="22" t="e">
        <f>IF('Pop Cibles'!BL33&lt;'Pop Cibles'!BS33,'Pop Cibles'!BS33,0)+IF('Pop Cibles'!BM33&lt;'Pop Cibles'!BT33,'Pop Cibles'!BT33,0)+IF('Pop Cibles'!BN33&lt;'Pop Cibles'!BU33,'Pop Cibles'!BU33,0)</f>
        <v>#REF!</v>
      </c>
      <c r="X33" s="22" t="e">
        <f>'Pop Cibles'!I33*2.5+'Pop Cibles'!J33*3</f>
        <v>#REF!</v>
      </c>
      <c r="Y33" s="22" t="e">
        <f>'Pop Cibles'!X33*2.5+'Pop Cibles'!Y33*3</f>
        <v>#REF!</v>
      </c>
      <c r="Z33" s="22" t="e">
        <f>'Pop Cibles'!AM33*2.5+'Pop Cibles'!AN33*3</f>
        <v>#REF!</v>
      </c>
      <c r="AA33" s="22" t="e">
        <f>'Pop Cibles'!BB33*2.5+'Pop Cibles'!BC33*3</f>
        <v>#REF!</v>
      </c>
      <c r="AB33" s="22" t="e">
        <f>'Pop Cibles'!BQ33*2.5+'Pop Cibles'!BR33*3</f>
        <v>#REF!</v>
      </c>
      <c r="AC33" s="22" t="e">
        <f>'Pop Cibles'!N33*2</f>
        <v>#REF!</v>
      </c>
      <c r="AD33" s="22" t="e">
        <f>'Pop Cibles'!AC33*2</f>
        <v>#REF!</v>
      </c>
      <c r="AE33" s="22" t="e">
        <f>'Pop Cibles'!AR33*2</f>
        <v>#REF!</v>
      </c>
      <c r="AF33" s="22" t="e">
        <f>'Pop Cibles'!BG33*2</f>
        <v>#REF!</v>
      </c>
      <c r="AG33" s="22" t="e">
        <f>'Pop Cibles'!BV33*2</f>
        <v>#REF!</v>
      </c>
      <c r="AH33" s="22" t="e">
        <f>'Pop Cibles'!O33*0.33</f>
        <v>#REF!</v>
      </c>
      <c r="AI33" s="22" t="e">
        <f>'Pop Cibles'!AD33*0.33</f>
        <v>#REF!</v>
      </c>
      <c r="AJ33" s="22" t="e">
        <f>'Pop Cibles'!AS33*0.33</f>
        <v>#REF!</v>
      </c>
      <c r="AK33" s="22" t="e">
        <f>'Pop Cibles'!BH33*0.33</f>
        <v>#REF!</v>
      </c>
      <c r="AL33" s="22" t="e">
        <f>'Pop Cibles'!BW33*0.33</f>
        <v>#REF!</v>
      </c>
      <c r="AM33" s="22" t="e">
        <f>('Pop Cibles'!P33+'Pop Cibles'!Q33)*3</f>
        <v>#REF!</v>
      </c>
      <c r="AN33" s="22" t="e">
        <f>('Pop Cibles'!AE33+'Pop Cibles'!AF33)*3</f>
        <v>#REF!</v>
      </c>
      <c r="AO33" s="22" t="e">
        <f>('Pop Cibles'!AT33+'Pop Cibles'!AU33)*3</f>
        <v>#REF!</v>
      </c>
      <c r="AP33" s="22" t="e">
        <f>('Pop Cibles'!BI33+'Pop Cibles'!BJ33)*3</f>
        <v>#REF!</v>
      </c>
      <c r="AQ33" s="22" t="e">
        <f>('Pop Cibles'!BY33+'Pop Cibles'!BY33)*3</f>
        <v>#REF!</v>
      </c>
    </row>
  </sheetData>
  <sheetProtection sheet="1" objects="1" scenarios="1"/>
  <autoFilter ref="A3:Q33"/>
  <mergeCells count="14">
    <mergeCell ref="AH1:AQ1"/>
    <mergeCell ref="D2:H2"/>
    <mergeCell ref="I2:M2"/>
    <mergeCell ref="N2:R2"/>
    <mergeCell ref="S2:W2"/>
    <mergeCell ref="X2:AB2"/>
    <mergeCell ref="AC2:AG2"/>
    <mergeCell ref="AH2:AL2"/>
    <mergeCell ref="AM2:AQ2"/>
    <mergeCell ref="A1:A3"/>
    <mergeCell ref="B2:B3"/>
    <mergeCell ref="C1:C3"/>
    <mergeCell ref="D1:R1"/>
    <mergeCell ref="S1:AG1"/>
  </mergeCells>
  <pageMargins left="0.74791666666666701" right="0.74791666666666701" top="0.47222222222222199" bottom="0.98402777777777795" header="0.156944444444444" footer="0.51180555555555596"/>
  <pageSetup paperSize="8" scale="5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6"/>
  <sheetViews>
    <sheetView workbookViewId="0">
      <selection activeCell="D23" sqref="D23"/>
    </sheetView>
  </sheetViews>
  <sheetFormatPr baseColWidth="10" defaultColWidth="9.140625" defaultRowHeight="15.75"/>
  <cols>
    <col min="1" max="1" width="44.140625" style="1" customWidth="1"/>
    <col min="2" max="2" width="9.140625" style="1" customWidth="1"/>
    <col min="3" max="3" width="9.140625" customWidth="1"/>
  </cols>
  <sheetData>
    <row r="1" spans="1:2" ht="12.75">
      <c r="A1" s="2" t="s">
        <v>265</v>
      </c>
      <c r="B1" s="2" t="s">
        <v>74</v>
      </c>
    </row>
    <row r="2" spans="1:2" ht="12.75">
      <c r="A2" s="3" t="s">
        <v>140</v>
      </c>
      <c r="B2" s="4" t="s">
        <v>87</v>
      </c>
    </row>
    <row r="3" spans="1:2" ht="12.75">
      <c r="A3" s="3" t="s">
        <v>141</v>
      </c>
      <c r="B3" s="4" t="s">
        <v>89</v>
      </c>
    </row>
    <row r="4" spans="1:2" ht="12.75">
      <c r="A4" s="3" t="s">
        <v>142</v>
      </c>
      <c r="B4" s="4" t="s">
        <v>91</v>
      </c>
    </row>
    <row r="5" spans="1:2" ht="12.75">
      <c r="A5" s="3" t="s">
        <v>143</v>
      </c>
      <c r="B5" s="4" t="s">
        <v>93</v>
      </c>
    </row>
    <row r="6" spans="1:2" ht="12.75">
      <c r="A6" s="3" t="s">
        <v>135</v>
      </c>
      <c r="B6" s="4" t="s">
        <v>95</v>
      </c>
    </row>
    <row r="7" spans="1:2" ht="12.75">
      <c r="A7" s="3" t="s">
        <v>136</v>
      </c>
      <c r="B7" s="4" t="s">
        <v>97</v>
      </c>
    </row>
    <row r="8" spans="1:2" ht="12.75">
      <c r="A8" s="3" t="s">
        <v>137</v>
      </c>
      <c r="B8" s="4" t="s">
        <v>99</v>
      </c>
    </row>
    <row r="9" spans="1:2" ht="12.75">
      <c r="A9" s="3" t="s">
        <v>138</v>
      </c>
      <c r="B9" s="4" t="s">
        <v>101</v>
      </c>
    </row>
    <row r="10" spans="1:2" ht="12.75">
      <c r="A10" s="3" t="s">
        <v>126</v>
      </c>
      <c r="B10" s="4" t="s">
        <v>103</v>
      </c>
    </row>
    <row r="11" spans="1:2" ht="12.75">
      <c r="A11" s="3" t="s">
        <v>266</v>
      </c>
      <c r="B11" s="4" t="s">
        <v>105</v>
      </c>
    </row>
    <row r="12" spans="1:2" ht="12.75">
      <c r="A12" s="4" t="s">
        <v>128</v>
      </c>
      <c r="B12" s="4"/>
    </row>
    <row r="13" spans="1:2" ht="12.75">
      <c r="A13" s="4" t="s">
        <v>129</v>
      </c>
      <c r="B13" s="4"/>
    </row>
    <row r="14" spans="1:2" ht="12.75">
      <c r="A14" s="3" t="s">
        <v>130</v>
      </c>
      <c r="B14" s="4"/>
    </row>
    <row r="15" spans="1:2" ht="12.75">
      <c r="A15" s="3" t="s">
        <v>131</v>
      </c>
      <c r="B15" s="4"/>
    </row>
    <row r="16" spans="1:2" ht="12.75">
      <c r="A16" s="3" t="s">
        <v>132</v>
      </c>
      <c r="B16" s="4"/>
    </row>
    <row r="17" spans="1:2" ht="12.75">
      <c r="A17" s="3" t="s">
        <v>133</v>
      </c>
      <c r="B17" s="4"/>
    </row>
    <row r="18" spans="1:2" ht="12.75">
      <c r="A18" s="3" t="s">
        <v>145</v>
      </c>
      <c r="B18" s="4"/>
    </row>
    <row r="19" spans="1:2" ht="12.75">
      <c r="A19" s="3" t="s">
        <v>146</v>
      </c>
      <c r="B19" s="4"/>
    </row>
    <row r="20" spans="1:2" ht="12.75">
      <c r="A20" s="3" t="s">
        <v>147</v>
      </c>
      <c r="B20" s="4"/>
    </row>
    <row r="21" spans="1:2" ht="12.75">
      <c r="A21" s="4" t="s">
        <v>148</v>
      </c>
      <c r="B21" s="4"/>
    </row>
    <row r="22" spans="1:2" ht="12.75">
      <c r="A22" s="5"/>
      <c r="B22" s="5"/>
    </row>
    <row r="23" spans="1:2" ht="12.75">
      <c r="A23" s="5"/>
      <c r="B23" s="5"/>
    </row>
    <row r="24" spans="1:2" ht="12.75">
      <c r="A24" s="5"/>
      <c r="B24" s="5"/>
    </row>
    <row r="25" spans="1:2" ht="12.75">
      <c r="A25" s="5"/>
      <c r="B25" s="5"/>
    </row>
    <row r="26" spans="1:2" ht="12.75">
      <c r="A26" s="5"/>
      <c r="B26" s="5"/>
    </row>
    <row r="27" spans="1:2" ht="12.75">
      <c r="A27" s="5"/>
      <c r="B27" s="5"/>
    </row>
    <row r="28" spans="1:2" ht="12.75">
      <c r="A28" s="5"/>
      <c r="B28" s="5"/>
    </row>
    <row r="29" spans="1:2" ht="12.75">
      <c r="A29" s="5"/>
      <c r="B29" s="5"/>
    </row>
    <row r="30" spans="1:2" ht="12.75">
      <c r="A30" s="5"/>
      <c r="B30" s="5"/>
    </row>
    <row r="31" spans="1:2" ht="12.75">
      <c r="A31" s="5"/>
      <c r="B31" s="5"/>
    </row>
    <row r="32" spans="1:2" ht="12.75">
      <c r="A32" s="5"/>
      <c r="B32" s="5"/>
    </row>
    <row r="33" spans="1:2" ht="12.75">
      <c r="A33" s="5"/>
      <c r="B33" s="5"/>
    </row>
    <row r="34" spans="1:2" ht="12.75">
      <c r="A34" s="5"/>
      <c r="B34" s="5"/>
    </row>
    <row r="35" spans="1:2" ht="12.75">
      <c r="A35" s="5"/>
      <c r="B35" s="5"/>
    </row>
    <row r="36" spans="1:2" ht="12.75">
      <c r="A36" s="5"/>
      <c r="B36" s="5"/>
    </row>
    <row r="37" spans="1:2" ht="12.75">
      <c r="A37" s="5"/>
      <c r="B37" s="5"/>
    </row>
    <row r="38" spans="1:2" ht="12.75">
      <c r="A38" s="5"/>
      <c r="B38" s="5"/>
    </row>
    <row r="39" spans="1:2" ht="12.75">
      <c r="A39" s="5"/>
      <c r="B39" s="5"/>
    </row>
    <row r="40" spans="1:2" ht="12.75">
      <c r="A40" s="5"/>
      <c r="B40" s="5"/>
    </row>
    <row r="41" spans="1:2" ht="12.75">
      <c r="A41" s="5"/>
      <c r="B41" s="5"/>
    </row>
    <row r="42" spans="1:2" ht="12.75">
      <c r="A42" s="5"/>
      <c r="B42" s="5"/>
    </row>
    <row r="43" spans="1:2" ht="12.75">
      <c r="A43" s="5"/>
      <c r="B43" s="5"/>
    </row>
    <row r="44" spans="1:2" ht="12.75">
      <c r="A44" s="5"/>
      <c r="B44" s="5"/>
    </row>
    <row r="45" spans="1:2" ht="12.75">
      <c r="A45" s="5"/>
      <c r="B45" s="5"/>
    </row>
    <row r="46" spans="1:2" ht="12.75">
      <c r="A46" s="6"/>
      <c r="B46" s="6"/>
    </row>
    <row r="47" spans="1:2" ht="12.75">
      <c r="A47" s="5"/>
      <c r="B47" s="5"/>
    </row>
    <row r="48" spans="1:2" ht="12.75">
      <c r="A48" s="5"/>
      <c r="B48" s="5"/>
    </row>
    <row r="49" spans="1:2" ht="12.75">
      <c r="A49" s="5"/>
      <c r="B49" s="5"/>
    </row>
    <row r="50" spans="1:2" ht="12.75">
      <c r="A50" s="5"/>
      <c r="B50" s="5"/>
    </row>
    <row r="51" spans="1:2" ht="12.75">
      <c r="A51" s="5"/>
      <c r="B51" s="5"/>
    </row>
    <row r="52" spans="1:2" ht="12.75">
      <c r="A52" s="5"/>
      <c r="B52" s="5"/>
    </row>
    <row r="53" spans="1:2" ht="12.75">
      <c r="A53" s="5"/>
      <c r="B53" s="5"/>
    </row>
    <row r="54" spans="1:2" ht="12.75">
      <c r="A54" s="5"/>
      <c r="B54" s="5"/>
    </row>
    <row r="55" spans="1:2" ht="12.75">
      <c r="A55" s="5"/>
      <c r="B55" s="5"/>
    </row>
    <row r="56" spans="1:2" ht="12.75">
      <c r="A56" s="5"/>
      <c r="B56" s="5"/>
    </row>
    <row r="57" spans="1:2" ht="12.75">
      <c r="A57" s="5"/>
      <c r="B57" s="5"/>
    </row>
    <row r="58" spans="1:2" ht="12.75">
      <c r="A58" s="5"/>
      <c r="B58" s="5"/>
    </row>
    <row r="59" spans="1:2" ht="12.75">
      <c r="A59" s="5"/>
      <c r="B59" s="5"/>
    </row>
    <row r="60" spans="1:2" ht="12.75">
      <c r="A60" s="5"/>
      <c r="B60" s="5"/>
    </row>
    <row r="61" spans="1:2" ht="12.75">
      <c r="A61" s="5"/>
      <c r="B61" s="5"/>
    </row>
    <row r="62" spans="1:2" ht="12.75">
      <c r="A62" s="5"/>
      <c r="B62" s="5"/>
    </row>
    <row r="63" spans="1:2" ht="12.75">
      <c r="A63" s="5"/>
      <c r="B63" s="5"/>
    </row>
    <row r="64" spans="1:2" ht="12.75">
      <c r="A64" s="5"/>
      <c r="B64" s="5"/>
    </row>
    <row r="65" spans="1:2" ht="12.75">
      <c r="A65" s="7"/>
      <c r="B65" s="7"/>
    </row>
    <row r="66" spans="1:2" ht="12.75">
      <c r="A66" s="7"/>
      <c r="B66" s="7"/>
    </row>
    <row r="67" spans="1:2" ht="12.75">
      <c r="A67" s="7"/>
      <c r="B67" s="7"/>
    </row>
    <row r="68" spans="1:2" ht="12.75">
      <c r="A68" s="7"/>
      <c r="B68" s="7"/>
    </row>
    <row r="69" spans="1:2" ht="12.75">
      <c r="A69" s="7"/>
      <c r="B69" s="7"/>
    </row>
    <row r="70" spans="1:2" ht="12.75">
      <c r="A70" s="8"/>
      <c r="B70" s="8"/>
    </row>
    <row r="71" spans="1:2" ht="12.75">
      <c r="A71" s="8"/>
      <c r="B71" s="8"/>
    </row>
    <row r="72" spans="1:2" ht="12.75">
      <c r="A72" s="8"/>
      <c r="B72" s="8"/>
    </row>
    <row r="73" spans="1:2" ht="12.75">
      <c r="A73" s="8"/>
      <c r="B73" s="8"/>
    </row>
    <row r="74" spans="1:2" ht="12.75">
      <c r="A74" s="8"/>
      <c r="B74" s="8"/>
    </row>
    <row r="75" spans="1:2" ht="12.75">
      <c r="A75" s="8"/>
      <c r="B75" s="8"/>
    </row>
    <row r="76" spans="1:2" ht="12.75">
      <c r="A76" s="8"/>
      <c r="B76" s="8"/>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5"/>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spans="1:2" ht="12.75">
      <c r="A99" s="5"/>
      <c r="B99" s="5"/>
    </row>
    <row r="100" spans="1:2" ht="12.75">
      <c r="A100" s="5"/>
      <c r="B100" s="5"/>
    </row>
    <row r="101" spans="1:2" ht="12.75">
      <c r="A101" s="5"/>
      <c r="B101" s="5"/>
    </row>
    <row r="102" spans="1:2" ht="12.75">
      <c r="A102" s="5"/>
      <c r="B102" s="5"/>
    </row>
    <row r="103" spans="1:2" ht="12.75">
      <c r="A103" s="5"/>
      <c r="B103" s="5"/>
    </row>
    <row r="104" spans="1:2" ht="12.75">
      <c r="A104" s="5"/>
      <c r="B104" s="5"/>
    </row>
    <row r="105" spans="1:2" ht="12.75">
      <c r="A105" s="5"/>
      <c r="B105" s="5"/>
    </row>
    <row r="106" spans="1:2" ht="12.75">
      <c r="A106" s="5"/>
      <c r="B106" s="5"/>
    </row>
    <row r="107" spans="1:2" ht="12.75">
      <c r="A107" s="5"/>
      <c r="B107" s="5"/>
    </row>
    <row r="108" spans="1:2" ht="12.75">
      <c r="A108" s="5"/>
      <c r="B108" s="5"/>
    </row>
    <row r="109" spans="1:2" ht="12.75">
      <c r="A109" s="5"/>
      <c r="B109" s="5"/>
    </row>
    <row r="110" spans="1:2" ht="12.75">
      <c r="A110" s="5"/>
      <c r="B110" s="5"/>
    </row>
    <row r="111" spans="1:2" ht="12.75">
      <c r="A111" s="5"/>
      <c r="B111" s="5"/>
    </row>
    <row r="112" spans="1:2" ht="12.75">
      <c r="A112" s="5"/>
      <c r="B112" s="5"/>
    </row>
    <row r="113" spans="1:2" ht="12.75">
      <c r="A113" s="5"/>
      <c r="B113" s="5"/>
    </row>
    <row r="114" spans="1:2" ht="12.75">
      <c r="A114" s="5"/>
      <c r="B114" s="5"/>
    </row>
    <row r="115" spans="1:2" ht="12.75">
      <c r="A115" s="5"/>
      <c r="B115" s="5"/>
    </row>
    <row r="129" spans="1:2">
      <c r="A129" s="9"/>
      <c r="B129" s="9"/>
    </row>
    <row r="130" spans="1:2">
      <c r="A130" s="9"/>
      <c r="B130" s="9"/>
    </row>
    <row r="131" spans="1:2">
      <c r="A131" s="9"/>
      <c r="B131" s="9"/>
    </row>
    <row r="132" spans="1:2">
      <c r="A132" s="9"/>
      <c r="B132" s="9"/>
    </row>
    <row r="133" spans="1:2">
      <c r="A133" s="9"/>
      <c r="B133" s="9"/>
    </row>
    <row r="134" spans="1:2">
      <c r="A134" s="9"/>
      <c r="B134" s="9"/>
    </row>
    <row r="135" spans="1:2">
      <c r="A135" s="9"/>
      <c r="B135" s="9"/>
    </row>
    <row r="136" spans="1:2">
      <c r="A136" s="9"/>
      <c r="B136" s="9"/>
    </row>
    <row r="137" spans="1:2">
      <c r="A137" s="10"/>
      <c r="B137" s="10"/>
    </row>
    <row r="138" spans="1:2">
      <c r="A138" s="9"/>
      <c r="B138" s="9"/>
    </row>
    <row r="139" spans="1:2">
      <c r="A139" s="9"/>
      <c r="B139" s="9"/>
    </row>
    <row r="140" spans="1:2">
      <c r="A140" s="9"/>
      <c r="B140" s="9"/>
    </row>
    <row r="141" spans="1:2">
      <c r="A141" s="9"/>
      <c r="B141" s="9"/>
    </row>
    <row r="142" spans="1:2">
      <c r="A142" s="9"/>
      <c r="B142" s="9"/>
    </row>
    <row r="143" spans="1:2">
      <c r="A143" s="9"/>
      <c r="B143" s="9"/>
    </row>
    <row r="144" spans="1:2">
      <c r="A144" s="9"/>
      <c r="B144" s="9"/>
    </row>
    <row r="145" spans="1:2">
      <c r="A145" s="9"/>
      <c r="B145" s="9"/>
    </row>
    <row r="146" spans="1:2">
      <c r="A146" s="9"/>
      <c r="B146" s="9"/>
    </row>
    <row r="147" spans="1:2">
      <c r="A147" s="9"/>
      <c r="B147" s="9"/>
    </row>
    <row r="148" spans="1:2">
      <c r="A148" s="9"/>
      <c r="B148" s="9"/>
    </row>
    <row r="149" spans="1:2">
      <c r="A149" s="9"/>
      <c r="B149" s="9"/>
    </row>
    <row r="150" spans="1:2">
      <c r="A150" s="9"/>
      <c r="B150" s="9"/>
    </row>
    <row r="151" spans="1:2">
      <c r="A151" s="9"/>
      <c r="B151" s="9"/>
    </row>
    <row r="152" spans="1:2">
      <c r="A152" s="9"/>
      <c r="B152" s="9"/>
    </row>
    <row r="153" spans="1:2">
      <c r="A153" s="9"/>
      <c r="B153" s="9"/>
    </row>
    <row r="154" spans="1:2">
      <c r="A154" s="9"/>
      <c r="B154" s="9"/>
    </row>
    <row r="155" spans="1:2">
      <c r="A155" s="9"/>
      <c r="B155" s="9"/>
    </row>
    <row r="156" spans="1:2">
      <c r="A156" s="9"/>
      <c r="B156" s="9"/>
    </row>
    <row r="157" spans="1:2">
      <c r="A157" s="11"/>
      <c r="B157" s="11"/>
    </row>
    <row r="158" spans="1:2">
      <c r="A158" s="11"/>
      <c r="B158" s="11"/>
    </row>
    <row r="159" spans="1:2">
      <c r="A159" s="11"/>
      <c r="B159" s="11"/>
    </row>
    <row r="160" spans="1:2">
      <c r="A160" s="11"/>
      <c r="B160" s="11"/>
    </row>
    <row r="161" spans="1:2">
      <c r="A161" s="11"/>
      <c r="B161" s="11"/>
    </row>
    <row r="162" spans="1:2">
      <c r="A162" s="11"/>
      <c r="B162" s="11"/>
    </row>
    <row r="163" spans="1:2">
      <c r="A163" s="11"/>
      <c r="B163" s="11"/>
    </row>
    <row r="164" spans="1:2">
      <c r="A164" s="11"/>
      <c r="B164" s="11"/>
    </row>
    <row r="165" spans="1:2">
      <c r="A165" s="11"/>
      <c r="B165" s="11"/>
    </row>
    <row r="166" spans="1:2">
      <c r="A166" s="11"/>
      <c r="B166" s="11"/>
    </row>
    <row r="167" spans="1:2">
      <c r="A167" s="11"/>
      <c r="B167" s="11"/>
    </row>
    <row r="168" spans="1:2">
      <c r="A168" s="11"/>
      <c r="B168" s="11"/>
    </row>
    <row r="169" spans="1:2">
      <c r="A169" s="11"/>
      <c r="B169" s="11"/>
    </row>
    <row r="170" spans="1:2">
      <c r="A170" s="11"/>
      <c r="B170" s="11"/>
    </row>
    <row r="171" spans="1:2">
      <c r="A171" s="11"/>
      <c r="B171" s="11"/>
    </row>
    <row r="172" spans="1:2">
      <c r="A172" s="11"/>
      <c r="B172" s="11"/>
    </row>
    <row r="173" spans="1:2">
      <c r="A173" s="11"/>
      <c r="B173" s="11"/>
    </row>
    <row r="174" spans="1:2">
      <c r="A174" s="11"/>
      <c r="B174" s="11"/>
    </row>
    <row r="175" spans="1:2">
      <c r="A175" s="11"/>
      <c r="B175" s="11"/>
    </row>
    <row r="176" spans="1:2">
      <c r="A176" s="11"/>
      <c r="B176" s="11"/>
    </row>
    <row r="177" spans="1:2">
      <c r="A177" s="11"/>
      <c r="B177" s="11"/>
    </row>
    <row r="178" spans="1:2">
      <c r="A178" s="11"/>
      <c r="B178" s="11"/>
    </row>
    <row r="179" spans="1:2">
      <c r="A179" s="11"/>
      <c r="B179" s="11"/>
    </row>
    <row r="180" spans="1:2">
      <c r="A180" s="11"/>
      <c r="B180" s="11"/>
    </row>
    <row r="181" spans="1:2">
      <c r="A181" s="11"/>
      <c r="B181" s="11"/>
    </row>
    <row r="182" spans="1:2">
      <c r="A182" s="11"/>
      <c r="B182" s="11"/>
    </row>
    <row r="183" spans="1:2">
      <c r="A183" s="11"/>
      <c r="B183" s="11"/>
    </row>
    <row r="184" spans="1:2">
      <c r="A184" s="11"/>
      <c r="B184" s="11"/>
    </row>
    <row r="185" spans="1:2">
      <c r="A185" s="11"/>
      <c r="B185" s="11"/>
    </row>
    <row r="186" spans="1:2">
      <c r="A186" s="11"/>
      <c r="B186" s="11"/>
    </row>
    <row r="187" spans="1:2">
      <c r="A187" s="11"/>
      <c r="B187" s="11"/>
    </row>
    <row r="188" spans="1:2">
      <c r="A188" s="11"/>
      <c r="B188" s="11"/>
    </row>
    <row r="189" spans="1:2">
      <c r="A189" s="11"/>
      <c r="B189" s="11"/>
    </row>
    <row r="190" spans="1:2">
      <c r="A190" s="11"/>
      <c r="B190" s="11"/>
    </row>
    <row r="191" spans="1:2">
      <c r="A191" s="11"/>
      <c r="B191" s="11"/>
    </row>
    <row r="192" spans="1:2">
      <c r="A192" s="11"/>
      <c r="B192" s="11"/>
    </row>
    <row r="193" spans="1:2">
      <c r="A193" s="11"/>
      <c r="B193" s="11"/>
    </row>
    <row r="194" spans="1:2">
      <c r="A194" s="11"/>
      <c r="B194" s="11"/>
    </row>
    <row r="195" spans="1:2">
      <c r="A195" s="11"/>
      <c r="B195" s="11"/>
    </row>
    <row r="196" spans="1:2">
      <c r="A196" s="11"/>
      <c r="B196" s="11"/>
    </row>
    <row r="197" spans="1:2">
      <c r="A197" s="11"/>
      <c r="B197" s="11"/>
    </row>
    <row r="198" spans="1:2">
      <c r="A198" s="11"/>
      <c r="B198" s="11"/>
    </row>
    <row r="199" spans="1:2">
      <c r="A199" s="11"/>
      <c r="B199" s="11"/>
    </row>
    <row r="200" spans="1:2">
      <c r="A200" s="11"/>
      <c r="B200" s="11"/>
    </row>
    <row r="201" spans="1:2">
      <c r="A201" s="11"/>
      <c r="B201" s="11"/>
    </row>
    <row r="202" spans="1:2">
      <c r="A202" s="11"/>
      <c r="B202" s="11"/>
    </row>
    <row r="203" spans="1:2">
      <c r="A203" s="11"/>
      <c r="B203" s="11"/>
    </row>
    <row r="204" spans="1:2">
      <c r="A204" s="11"/>
      <c r="B204" s="11"/>
    </row>
    <row r="205" spans="1:2">
      <c r="A205" s="11"/>
      <c r="B205" s="11"/>
    </row>
    <row r="206" spans="1:2">
      <c r="A206" s="11"/>
      <c r="B206" s="11"/>
    </row>
    <row r="207" spans="1:2">
      <c r="A207" s="11"/>
      <c r="B207" s="11"/>
    </row>
    <row r="208" spans="1:2">
      <c r="A208" s="11"/>
      <c r="B208" s="11"/>
    </row>
    <row r="209" spans="1:2">
      <c r="A209" s="11"/>
      <c r="B209" s="11"/>
    </row>
    <row r="210" spans="1:2">
      <c r="A210" s="11"/>
      <c r="B210" s="11"/>
    </row>
    <row r="211" spans="1:2">
      <c r="A211" s="11"/>
      <c r="B211" s="11"/>
    </row>
    <row r="212" spans="1:2" ht="12.75">
      <c r="A212" s="12"/>
      <c r="B212" s="12"/>
    </row>
    <row r="213" spans="1:2" ht="12.75">
      <c r="A213" s="12"/>
      <c r="B213" s="12"/>
    </row>
    <row r="214" spans="1:2" ht="12.75">
      <c r="A214" s="12"/>
      <c r="B214" s="12"/>
    </row>
    <row r="215" spans="1:2" ht="12.75">
      <c r="A215" s="12"/>
      <c r="B215" s="12"/>
    </row>
    <row r="216" spans="1:2" ht="12.75">
      <c r="A216" s="12"/>
      <c r="B216" s="12"/>
    </row>
    <row r="217" spans="1:2" ht="12.75">
      <c r="A217" s="12"/>
      <c r="B217" s="12"/>
    </row>
    <row r="218" spans="1:2" ht="12.75">
      <c r="A218" s="12"/>
      <c r="B218" s="12"/>
    </row>
    <row r="219" spans="1:2" ht="12.75">
      <c r="A219" s="12"/>
      <c r="B219" s="12"/>
    </row>
    <row r="220" spans="1:2" ht="12.75">
      <c r="A220" s="12"/>
      <c r="B220" s="12"/>
    </row>
    <row r="221" spans="1:2" ht="12.75">
      <c r="A221" s="12"/>
      <c r="B221" s="12"/>
    </row>
    <row r="222" spans="1:2" ht="12.75">
      <c r="A222" s="12"/>
      <c r="B222" s="12"/>
    </row>
    <row r="223" spans="1:2" ht="12.75">
      <c r="A223" s="12"/>
      <c r="B223" s="12"/>
    </row>
    <row r="224" spans="1:2" ht="12.75">
      <c r="A224" s="12"/>
      <c r="B224" s="12"/>
    </row>
    <row r="225" spans="1:2" ht="12.75">
      <c r="A225" s="12"/>
      <c r="B225" s="12"/>
    </row>
    <row r="226" spans="1:2" ht="12.75">
      <c r="A226" s="12"/>
      <c r="B226" s="12"/>
    </row>
    <row r="227" spans="1:2" ht="12.75">
      <c r="A227" s="12"/>
      <c r="B227" s="12"/>
    </row>
    <row r="228" spans="1:2" ht="12.75">
      <c r="A228" s="12"/>
      <c r="B228" s="12"/>
    </row>
    <row r="229" spans="1:2" ht="12.75">
      <c r="A229" s="12"/>
      <c r="B229" s="12"/>
    </row>
    <row r="230" spans="1:2" ht="12.75">
      <c r="A230" s="12"/>
      <c r="B230" s="12"/>
    </row>
    <row r="231" spans="1:2" ht="12.75">
      <c r="A231" s="13"/>
      <c r="B231" s="13"/>
    </row>
    <row r="232" spans="1:2" ht="12.75">
      <c r="A232" s="12"/>
      <c r="B232" s="12"/>
    </row>
    <row r="233" spans="1:2" ht="12.75">
      <c r="A233" s="12"/>
      <c r="B233" s="12"/>
    </row>
    <row r="234" spans="1:2" ht="12.75">
      <c r="A234" s="12"/>
      <c r="B234" s="12"/>
    </row>
    <row r="235" spans="1:2" ht="12.75">
      <c r="A235" s="12"/>
      <c r="B235" s="12"/>
    </row>
    <row r="236" spans="1:2" ht="12.75">
      <c r="A236" s="12"/>
      <c r="B236" s="12"/>
    </row>
    <row r="237" spans="1:2" ht="12.75">
      <c r="A237" s="12"/>
      <c r="B237" s="12"/>
    </row>
    <row r="238" spans="1:2" ht="12.75">
      <c r="A238" s="12"/>
      <c r="B238" s="12"/>
    </row>
    <row r="239" spans="1:2" ht="12.75">
      <c r="A239" s="12"/>
      <c r="B239" s="12"/>
    </row>
    <row r="240" spans="1:2" ht="12.75">
      <c r="A240" s="12"/>
      <c r="B240" s="12"/>
    </row>
    <row r="241" spans="1:2" ht="12.75">
      <c r="A241" s="12"/>
      <c r="B241" s="12"/>
    </row>
    <row r="242" spans="1:2" ht="12.75">
      <c r="A242" s="12"/>
      <c r="B242" s="12"/>
    </row>
    <row r="243" spans="1:2" ht="12.75">
      <c r="A243" s="13"/>
      <c r="B243" s="13"/>
    </row>
    <row r="244" spans="1:2" ht="12.75">
      <c r="A244" s="12"/>
      <c r="B244" s="12"/>
    </row>
    <row r="245" spans="1:2" ht="12.75">
      <c r="A245" s="12"/>
      <c r="B245" s="12"/>
    </row>
    <row r="246" spans="1:2" ht="12.75">
      <c r="A246" s="12"/>
      <c r="B246" s="12"/>
    </row>
    <row r="247" spans="1:2" ht="12.75">
      <c r="A247" s="12"/>
      <c r="B247" s="12"/>
    </row>
    <row r="248" spans="1:2" ht="12.75">
      <c r="A248" s="12"/>
      <c r="B248" s="12"/>
    </row>
    <row r="249" spans="1:2" ht="12.75">
      <c r="A249" s="12"/>
      <c r="B249" s="12"/>
    </row>
    <row r="250" spans="1:2" ht="12.75">
      <c r="A250" s="12"/>
      <c r="B250" s="12"/>
    </row>
    <row r="251" spans="1:2" ht="12.75">
      <c r="A251" s="12"/>
      <c r="B251" s="12"/>
    </row>
    <row r="252" spans="1:2" ht="15">
      <c r="A252" s="14"/>
      <c r="B252" s="14"/>
    </row>
    <row r="253" spans="1:2" ht="15">
      <c r="A253" s="14"/>
      <c r="B253" s="14"/>
    </row>
    <row r="254" spans="1:2" ht="15">
      <c r="A254" s="14"/>
      <c r="B254" s="14"/>
    </row>
    <row r="255" spans="1:2" ht="15">
      <c r="A255" s="14"/>
      <c r="B255" s="14"/>
    </row>
    <row r="256" spans="1:2" ht="15">
      <c r="A256" s="14"/>
      <c r="B256" s="14"/>
    </row>
    <row r="257" spans="1:2" ht="15">
      <c r="A257" s="14"/>
      <c r="B257" s="14"/>
    </row>
    <row r="258" spans="1:2" ht="15">
      <c r="A258" s="14"/>
      <c r="B258" s="14"/>
    </row>
    <row r="259" spans="1:2" ht="15">
      <c r="A259" s="14"/>
      <c r="B259" s="14"/>
    </row>
    <row r="260" spans="1:2" ht="15">
      <c r="A260" s="14"/>
      <c r="B260" s="14"/>
    </row>
    <row r="261" spans="1:2" ht="15">
      <c r="A261" s="14"/>
      <c r="B261" s="14"/>
    </row>
    <row r="262" spans="1:2" ht="15">
      <c r="A262" s="14"/>
      <c r="B262" s="14"/>
    </row>
    <row r="263" spans="1:2" ht="15">
      <c r="A263" s="14"/>
      <c r="B263" s="14"/>
    </row>
    <row r="264" spans="1:2" ht="15">
      <c r="A264" s="14"/>
      <c r="B264" s="14"/>
    </row>
    <row r="265" spans="1:2" ht="15">
      <c r="A265" s="14"/>
      <c r="B265" s="14"/>
    </row>
    <row r="266" spans="1:2" ht="15">
      <c r="A266" s="14"/>
      <c r="B266" s="14"/>
    </row>
    <row r="267" spans="1:2" ht="15">
      <c r="A267" s="14"/>
      <c r="B267" s="14"/>
    </row>
    <row r="268" spans="1:2" ht="15">
      <c r="A268" s="14"/>
      <c r="B268" s="14"/>
    </row>
    <row r="269" spans="1:2" ht="15">
      <c r="A269" s="14"/>
      <c r="B269" s="14"/>
    </row>
    <row r="270" spans="1:2" ht="15">
      <c r="A270" s="14"/>
      <c r="B270" s="14"/>
    </row>
    <row r="271" spans="1:2" ht="15">
      <c r="A271" s="14"/>
      <c r="B271" s="14"/>
    </row>
    <row r="272" spans="1:2" ht="15">
      <c r="A272" s="14"/>
      <c r="B272" s="14"/>
    </row>
    <row r="273" spans="1:2" ht="15">
      <c r="A273" s="14"/>
      <c r="B273" s="14"/>
    </row>
    <row r="274" spans="1:2" ht="15">
      <c r="A274" s="14"/>
      <c r="B274" s="14"/>
    </row>
    <row r="275" spans="1:2" ht="15">
      <c r="A275" s="14"/>
      <c r="B275" s="14"/>
    </row>
    <row r="276" spans="1:2" ht="15">
      <c r="A276" s="14"/>
      <c r="B276" s="14"/>
    </row>
    <row r="277" spans="1:2" ht="15">
      <c r="A277" s="14"/>
      <c r="B277" s="14"/>
    </row>
    <row r="278" spans="1:2" ht="15">
      <c r="A278" s="14"/>
      <c r="B278" s="14"/>
    </row>
    <row r="279" spans="1:2" ht="15">
      <c r="A279" s="14"/>
      <c r="B279" s="14"/>
    </row>
    <row r="280" spans="1:2" ht="15">
      <c r="A280" s="14"/>
      <c r="B280" s="14"/>
    </row>
    <row r="281" spans="1:2" ht="15">
      <c r="A281" s="14"/>
      <c r="B281" s="14"/>
    </row>
    <row r="282" spans="1:2" ht="15">
      <c r="A282" s="14"/>
      <c r="B282" s="14"/>
    </row>
    <row r="283" spans="1:2" ht="15">
      <c r="A283" s="14"/>
      <c r="B283" s="14"/>
    </row>
    <row r="284" spans="1:2" ht="15">
      <c r="A284" s="14"/>
      <c r="B284" s="14"/>
    </row>
    <row r="285" spans="1:2" ht="15">
      <c r="A285" s="14"/>
      <c r="B285" s="14"/>
    </row>
    <row r="286" spans="1:2" ht="15">
      <c r="A286" s="14"/>
      <c r="B286" s="14"/>
    </row>
    <row r="287" spans="1:2" ht="15">
      <c r="A287" s="14"/>
      <c r="B287" s="14"/>
    </row>
    <row r="288" spans="1:2" ht="15">
      <c r="A288" s="14"/>
      <c r="B288" s="14"/>
    </row>
    <row r="289" spans="1:2" ht="15">
      <c r="A289" s="14"/>
      <c r="B289" s="14"/>
    </row>
    <row r="290" spans="1:2" ht="15">
      <c r="A290" s="14"/>
      <c r="B290" s="14"/>
    </row>
    <row r="291" spans="1:2" ht="15">
      <c r="A291" s="14"/>
      <c r="B291" s="14"/>
    </row>
    <row r="292" spans="1:2" ht="15">
      <c r="A292" s="14"/>
      <c r="B292" s="14"/>
    </row>
    <row r="293" spans="1:2" ht="15">
      <c r="A293" s="14"/>
      <c r="B293" s="14"/>
    </row>
    <row r="294" spans="1:2" ht="15">
      <c r="A294" s="14"/>
      <c r="B294" s="14"/>
    </row>
    <row r="295" spans="1:2" ht="15">
      <c r="A295" s="14"/>
      <c r="B295" s="14"/>
    </row>
    <row r="296" spans="1:2" ht="15">
      <c r="A296" s="14"/>
      <c r="B296" s="14"/>
    </row>
    <row r="297" spans="1:2" ht="15">
      <c r="A297" s="14"/>
      <c r="B297" s="14"/>
    </row>
    <row r="298" spans="1:2" ht="15">
      <c r="A298" s="14"/>
      <c r="B298" s="14"/>
    </row>
    <row r="299" spans="1:2" ht="15">
      <c r="A299" s="14"/>
      <c r="B299" s="14"/>
    </row>
    <row r="300" spans="1:2" ht="15">
      <c r="A300" s="14"/>
      <c r="B300" s="14"/>
    </row>
    <row r="301" spans="1:2" ht="15">
      <c r="A301" s="14"/>
      <c r="B301" s="14"/>
    </row>
    <row r="302" spans="1:2" ht="15">
      <c r="A302" s="14"/>
      <c r="B302" s="14"/>
    </row>
    <row r="303" spans="1:2" ht="15">
      <c r="A303" s="14"/>
      <c r="B303" s="14"/>
    </row>
    <row r="304" spans="1:2" ht="15">
      <c r="A304" s="14"/>
      <c r="B304" s="14"/>
    </row>
    <row r="305" spans="1:2" ht="15">
      <c r="A305" s="14"/>
      <c r="B305" s="14"/>
    </row>
    <row r="306" spans="1:2" ht="15">
      <c r="A306" s="14"/>
      <c r="B306" s="14"/>
    </row>
    <row r="307" spans="1:2" ht="15">
      <c r="A307" s="14"/>
      <c r="B307" s="14"/>
    </row>
    <row r="308" spans="1:2" ht="15">
      <c r="A308" s="14"/>
      <c r="B308" s="14"/>
    </row>
    <row r="309" spans="1:2" ht="15">
      <c r="A309" s="14"/>
      <c r="B309" s="14"/>
    </row>
    <row r="310" spans="1:2" ht="15">
      <c r="A310" s="14"/>
      <c r="B310" s="14"/>
    </row>
    <row r="311" spans="1:2" ht="15">
      <c r="A311" s="14"/>
      <c r="B311" s="14"/>
    </row>
    <row r="312" spans="1:2" ht="15">
      <c r="A312" s="14"/>
      <c r="B312" s="14"/>
    </row>
    <row r="313" spans="1:2" ht="15">
      <c r="A313" s="14"/>
      <c r="B313" s="14"/>
    </row>
    <row r="314" spans="1:2" ht="15">
      <c r="A314" s="14"/>
      <c r="B314" s="14"/>
    </row>
    <row r="315" spans="1:2" ht="15">
      <c r="A315" s="14"/>
      <c r="B315" s="14"/>
    </row>
    <row r="316" spans="1:2" ht="15">
      <c r="A316" s="14"/>
      <c r="B316" s="14"/>
    </row>
    <row r="317" spans="1:2" ht="15">
      <c r="A317" s="14"/>
      <c r="B317" s="14"/>
    </row>
    <row r="318" spans="1:2" ht="15">
      <c r="A318" s="14"/>
      <c r="B318" s="14"/>
    </row>
    <row r="319" spans="1:2" ht="15">
      <c r="A319" s="14"/>
      <c r="B319" s="14"/>
    </row>
    <row r="320" spans="1:2" ht="15">
      <c r="A320" s="14"/>
      <c r="B320" s="14"/>
    </row>
    <row r="321" spans="1:2" ht="15">
      <c r="A321" s="14"/>
      <c r="B321" s="14"/>
    </row>
    <row r="322" spans="1:2" ht="15">
      <c r="A322" s="14"/>
      <c r="B322" s="14"/>
    </row>
    <row r="323" spans="1:2" ht="15">
      <c r="A323" s="14"/>
      <c r="B323" s="14"/>
    </row>
    <row r="324" spans="1:2" ht="15">
      <c r="A324" s="14"/>
      <c r="B324" s="14"/>
    </row>
    <row r="325" spans="1:2" ht="15">
      <c r="A325" s="14"/>
      <c r="B325" s="14"/>
    </row>
    <row r="326" spans="1:2" ht="15">
      <c r="A326" s="14"/>
      <c r="B326" s="14"/>
    </row>
    <row r="327" spans="1:2" ht="15">
      <c r="A327" s="14"/>
      <c r="B327" s="14"/>
    </row>
    <row r="328" spans="1:2" ht="15">
      <c r="A328" s="14"/>
      <c r="B328" s="14"/>
    </row>
    <row r="329" spans="1:2" ht="15">
      <c r="A329" s="14"/>
      <c r="B329" s="14"/>
    </row>
    <row r="330" spans="1:2" ht="15">
      <c r="A330" s="14"/>
      <c r="B330" s="14"/>
    </row>
    <row r="331" spans="1:2" ht="15">
      <c r="A331" s="14"/>
      <c r="B331" s="14"/>
    </row>
    <row r="332" spans="1:2" ht="15">
      <c r="A332" s="14"/>
      <c r="B332" s="14"/>
    </row>
    <row r="333" spans="1:2" ht="15">
      <c r="A333" s="14"/>
      <c r="B333" s="14"/>
    </row>
    <row r="334" spans="1:2" ht="15">
      <c r="A334" s="14"/>
      <c r="B334" s="14"/>
    </row>
    <row r="335" spans="1:2" ht="15">
      <c r="A335" s="14"/>
      <c r="B335" s="14"/>
    </row>
    <row r="336" spans="1:2" ht="15">
      <c r="A336" s="14"/>
      <c r="B336" s="14"/>
    </row>
    <row r="337" spans="1:2" ht="15">
      <c r="A337" s="14"/>
      <c r="B337" s="14"/>
    </row>
    <row r="338" spans="1:2" ht="15">
      <c r="A338" s="14"/>
      <c r="B338" s="14"/>
    </row>
    <row r="339" spans="1:2" ht="15">
      <c r="A339" s="14"/>
      <c r="B339" s="14"/>
    </row>
    <row r="340" spans="1:2" ht="15">
      <c r="A340" s="14"/>
      <c r="B340" s="14"/>
    </row>
    <row r="341" spans="1:2" ht="15">
      <c r="A341" s="14"/>
      <c r="B341" s="14"/>
    </row>
    <row r="342" spans="1:2" ht="15">
      <c r="A342" s="14"/>
      <c r="B342" s="14"/>
    </row>
    <row r="343" spans="1:2" ht="15">
      <c r="A343" s="14"/>
      <c r="B343" s="14"/>
    </row>
    <row r="344" spans="1:2" ht="15">
      <c r="A344" s="14"/>
      <c r="B344" s="14"/>
    </row>
    <row r="345" spans="1:2" ht="15">
      <c r="A345" s="14"/>
      <c r="B345" s="14"/>
    </row>
    <row r="346" spans="1:2" ht="15">
      <c r="A346" s="14"/>
      <c r="B346" s="14"/>
    </row>
    <row r="347" spans="1:2" ht="15">
      <c r="A347" s="14"/>
      <c r="B347" s="14"/>
    </row>
    <row r="348" spans="1:2" ht="15">
      <c r="A348" s="14"/>
      <c r="B348" s="14"/>
    </row>
    <row r="349" spans="1:2" ht="15">
      <c r="A349" s="14"/>
      <c r="B349" s="14"/>
    </row>
    <row r="350" spans="1:2" ht="15">
      <c r="A350" s="14"/>
      <c r="B350" s="14"/>
    </row>
    <row r="351" spans="1:2" ht="15">
      <c r="A351" s="14"/>
      <c r="B351" s="14"/>
    </row>
    <row r="352" spans="1:2" ht="15">
      <c r="A352" s="14"/>
      <c r="B352" s="14"/>
    </row>
    <row r="353" spans="1:2" ht="15">
      <c r="A353" s="14"/>
      <c r="B353" s="14"/>
    </row>
    <row r="354" spans="1:2" ht="15">
      <c r="A354" s="14"/>
      <c r="B354" s="14"/>
    </row>
    <row r="355" spans="1:2" ht="15">
      <c r="A355" s="14"/>
      <c r="B355" s="14"/>
    </row>
    <row r="356" spans="1:2" ht="15">
      <c r="A356" s="14"/>
      <c r="B356" s="14"/>
    </row>
    <row r="357" spans="1:2" ht="15">
      <c r="A357" s="14"/>
      <c r="B357" s="14"/>
    </row>
    <row r="358" spans="1:2" ht="15">
      <c r="A358" s="14"/>
      <c r="B358" s="14"/>
    </row>
    <row r="359" spans="1:2" ht="15">
      <c r="A359" s="14"/>
      <c r="B359" s="14"/>
    </row>
    <row r="360" spans="1:2" ht="15">
      <c r="A360" s="14"/>
      <c r="B360" s="14"/>
    </row>
    <row r="361" spans="1:2" ht="15">
      <c r="A361" s="14"/>
      <c r="B361" s="14"/>
    </row>
    <row r="362" spans="1:2" ht="15">
      <c r="A362" s="14"/>
      <c r="B362" s="14"/>
    </row>
    <row r="363" spans="1:2" ht="15">
      <c r="A363" s="14"/>
      <c r="B363" s="14"/>
    </row>
    <row r="364" spans="1:2" ht="15">
      <c r="A364" s="14"/>
      <c r="B364" s="14"/>
    </row>
    <row r="365" spans="1:2" ht="15">
      <c r="A365" s="14"/>
      <c r="B365" s="14"/>
    </row>
    <row r="366" spans="1:2" ht="15">
      <c r="A366" s="14"/>
      <c r="B366" s="14"/>
    </row>
    <row r="367" spans="1:2" ht="15">
      <c r="A367" s="14"/>
      <c r="B367" s="14"/>
    </row>
    <row r="368" spans="1:2" ht="15">
      <c r="A368" s="14"/>
      <c r="B368" s="14"/>
    </row>
    <row r="369" spans="1:2" ht="15">
      <c r="A369" s="14"/>
      <c r="B369" s="14"/>
    </row>
    <row r="370" spans="1:2" ht="15">
      <c r="A370" s="14"/>
      <c r="B370" s="14"/>
    </row>
    <row r="371" spans="1:2" ht="15">
      <c r="A371" s="14"/>
      <c r="B371" s="14"/>
    </row>
    <row r="372" spans="1:2" ht="15">
      <c r="A372" s="14"/>
      <c r="B372" s="14"/>
    </row>
    <row r="373" spans="1:2" ht="15">
      <c r="A373" s="14"/>
      <c r="B373" s="14"/>
    </row>
    <row r="374" spans="1:2" ht="15">
      <c r="A374" s="14"/>
      <c r="B374" s="14"/>
    </row>
    <row r="375" spans="1:2" ht="15">
      <c r="A375" s="14"/>
      <c r="B375" s="14"/>
    </row>
    <row r="376" spans="1:2" ht="15">
      <c r="A376" s="14"/>
      <c r="B376" s="14"/>
    </row>
    <row r="377" spans="1:2" ht="15">
      <c r="A377" s="14"/>
      <c r="B377" s="14"/>
    </row>
    <row r="378" spans="1:2" ht="15">
      <c r="A378" s="14"/>
      <c r="B378" s="14"/>
    </row>
    <row r="379" spans="1:2" ht="15">
      <c r="A379" s="14"/>
      <c r="B379" s="14"/>
    </row>
    <row r="380" spans="1:2" ht="15">
      <c r="A380" s="14"/>
      <c r="B380" s="14"/>
    </row>
    <row r="381" spans="1:2" ht="15">
      <c r="A381" s="14"/>
      <c r="B381" s="14"/>
    </row>
    <row r="382" spans="1:2" ht="12.75">
      <c r="A382" s="12"/>
      <c r="B382" s="12"/>
    </row>
    <row r="383" spans="1:2" ht="12.75">
      <c r="A383" s="12"/>
      <c r="B383" s="12"/>
    </row>
    <row r="384" spans="1:2" ht="12.75">
      <c r="A384" s="12"/>
      <c r="B384" s="12"/>
    </row>
    <row r="385" spans="1:2" ht="12.75">
      <c r="A385" s="12"/>
      <c r="B385" s="12"/>
    </row>
    <row r="386" spans="1:2" ht="12.75">
      <c r="A386" s="12"/>
      <c r="B386" s="12"/>
    </row>
    <row r="387" spans="1:2" ht="12.75">
      <c r="A387" s="12"/>
      <c r="B387" s="12"/>
    </row>
    <row r="388" spans="1:2" ht="12.75">
      <c r="A388" s="12"/>
      <c r="B388" s="12"/>
    </row>
    <row r="389" spans="1:2" ht="12.75">
      <c r="A389" s="12"/>
      <c r="B389" s="12"/>
    </row>
    <row r="390" spans="1:2" ht="12.75">
      <c r="A390" s="12"/>
      <c r="B390" s="12"/>
    </row>
    <row r="391" spans="1:2" ht="12.75">
      <c r="A391" s="12"/>
      <c r="B391" s="12"/>
    </row>
    <row r="392" spans="1:2" ht="12.75">
      <c r="A392" s="12"/>
      <c r="B392" s="12"/>
    </row>
    <row r="393" spans="1:2" ht="12.75">
      <c r="A393" s="12"/>
      <c r="B393" s="12"/>
    </row>
    <row r="394" spans="1:2" ht="12.75">
      <c r="A394" s="12"/>
      <c r="B394" s="12"/>
    </row>
    <row r="395" spans="1:2" ht="12.75">
      <c r="A395" s="12"/>
      <c r="B395" s="12"/>
    </row>
    <row r="396" spans="1:2" ht="12.75">
      <c r="A396" s="12"/>
      <c r="B396" s="12"/>
    </row>
    <row r="397" spans="1:2" ht="12.75">
      <c r="A397" s="12"/>
      <c r="B397" s="12"/>
    </row>
    <row r="398" spans="1:2" ht="12.75">
      <c r="A398" s="12"/>
      <c r="B398" s="12"/>
    </row>
    <row r="399" spans="1:2" ht="12.75">
      <c r="A399" s="12"/>
      <c r="B399" s="12"/>
    </row>
    <row r="400" spans="1:2" ht="12.75">
      <c r="A400" s="12"/>
      <c r="B400" s="12"/>
    </row>
    <row r="401" spans="1:2" ht="12.75">
      <c r="A401" s="12"/>
      <c r="B401" s="12"/>
    </row>
    <row r="402" spans="1:2" ht="12.75">
      <c r="A402" s="12"/>
      <c r="B402" s="12"/>
    </row>
    <row r="403" spans="1:2" ht="12.75">
      <c r="A403" s="12"/>
      <c r="B403" s="12"/>
    </row>
    <row r="404" spans="1:2" ht="12.75">
      <c r="A404" s="12"/>
      <c r="B404" s="12"/>
    </row>
    <row r="405" spans="1:2" ht="12.75">
      <c r="A405" s="12"/>
      <c r="B405" s="12"/>
    </row>
    <row r="406" spans="1:2" ht="12.75">
      <c r="A406" s="12"/>
      <c r="B406" s="12"/>
    </row>
    <row r="407" spans="1:2" ht="12.75">
      <c r="A407" s="12"/>
      <c r="B407" s="12"/>
    </row>
    <row r="408" spans="1:2" ht="12.75">
      <c r="A408" s="12"/>
      <c r="B408" s="12"/>
    </row>
    <row r="409" spans="1:2" ht="12.75">
      <c r="A409" s="12"/>
      <c r="B409" s="12"/>
    </row>
    <row r="410" spans="1:2" ht="12.75">
      <c r="A410" s="12"/>
      <c r="B410" s="12"/>
    </row>
    <row r="411" spans="1:2" ht="12.75">
      <c r="A411" s="12"/>
      <c r="B411" s="12"/>
    </row>
    <row r="412" spans="1:2" ht="12.75">
      <c r="A412" s="12"/>
      <c r="B412" s="12"/>
    </row>
    <row r="413" spans="1:2" ht="12.75">
      <c r="A413" s="12"/>
      <c r="B413" s="12"/>
    </row>
    <row r="414" spans="1:2" ht="12.75">
      <c r="A414" s="12"/>
      <c r="B414" s="12"/>
    </row>
    <row r="415" spans="1:2" ht="12.75">
      <c r="A415" s="12"/>
      <c r="B415" s="12"/>
    </row>
    <row r="416" spans="1:2" ht="12.75">
      <c r="A416" s="12"/>
      <c r="B416" s="12"/>
    </row>
    <row r="417" spans="1:2" ht="12.75">
      <c r="A417" s="12"/>
      <c r="B417" s="12"/>
    </row>
    <row r="418" spans="1:2" ht="12.75">
      <c r="A418" s="12"/>
      <c r="B418" s="12"/>
    </row>
    <row r="419" spans="1:2" ht="12.75">
      <c r="A419" s="12"/>
      <c r="B419" s="12"/>
    </row>
    <row r="420" spans="1:2" ht="12.75">
      <c r="A420" s="12"/>
      <c r="B420" s="12"/>
    </row>
    <row r="421" spans="1:2" ht="12.75">
      <c r="A421" s="12"/>
      <c r="B421" s="12"/>
    </row>
    <row r="422" spans="1:2" ht="12.75">
      <c r="A422" s="12"/>
      <c r="B422" s="12"/>
    </row>
    <row r="423" spans="1:2" ht="12.75">
      <c r="A423" s="12"/>
      <c r="B423" s="12"/>
    </row>
    <row r="424" spans="1:2" ht="12.75">
      <c r="A424" s="12"/>
      <c r="B424" s="12"/>
    </row>
    <row r="425" spans="1:2" ht="12.75">
      <c r="A425" s="12"/>
      <c r="B425" s="12"/>
    </row>
    <row r="426" spans="1:2" ht="12.75">
      <c r="A426" s="12"/>
      <c r="B426" s="12"/>
    </row>
    <row r="427" spans="1:2" ht="12.75">
      <c r="A427" s="12"/>
      <c r="B427" s="12"/>
    </row>
    <row r="428" spans="1:2" ht="12.75">
      <c r="A428" s="12"/>
      <c r="B428" s="12"/>
    </row>
    <row r="429" spans="1:2" ht="12.75">
      <c r="A429" s="12"/>
      <c r="B429" s="12"/>
    </row>
    <row r="430" spans="1:2" ht="12.75">
      <c r="A430" s="12"/>
      <c r="B430" s="12"/>
    </row>
    <row r="431" spans="1:2" ht="12.75">
      <c r="A431" s="12"/>
      <c r="B431" s="12"/>
    </row>
    <row r="432" spans="1:2" ht="12.75">
      <c r="A432" s="12"/>
      <c r="B432" s="12"/>
    </row>
    <row r="433" spans="1:2" ht="12.75">
      <c r="A433" s="12"/>
      <c r="B433" s="12"/>
    </row>
    <row r="434" spans="1:2" ht="12.75">
      <c r="A434" s="12"/>
      <c r="B434" s="12"/>
    </row>
    <row r="435" spans="1:2" ht="12.75">
      <c r="A435" s="12"/>
      <c r="B435" s="12"/>
    </row>
    <row r="436" spans="1:2" ht="12.75">
      <c r="A436" s="12"/>
      <c r="B436" s="12"/>
    </row>
    <row r="437" spans="1:2" ht="12.75">
      <c r="A437" s="12"/>
      <c r="B437" s="12"/>
    </row>
    <row r="438" spans="1:2" ht="12.75">
      <c r="A438" s="12"/>
      <c r="B438" s="12"/>
    </row>
    <row r="439" spans="1:2" ht="12.75">
      <c r="A439" s="12"/>
      <c r="B439" s="12"/>
    </row>
    <row r="440" spans="1:2" ht="12.75">
      <c r="A440" s="12"/>
      <c r="B440" s="12"/>
    </row>
    <row r="441" spans="1:2" ht="12.75">
      <c r="A441" s="12"/>
      <c r="B441" s="12"/>
    </row>
    <row r="442" spans="1:2" ht="12.75">
      <c r="A442" s="12"/>
      <c r="B442" s="12"/>
    </row>
    <row r="443" spans="1:2" ht="12.75">
      <c r="A443" s="12"/>
      <c r="B443" s="12"/>
    </row>
    <row r="444" spans="1:2" ht="12.75">
      <c r="A444" s="12"/>
      <c r="B444" s="12"/>
    </row>
    <row r="445" spans="1:2" ht="12.75">
      <c r="A445" s="12"/>
      <c r="B445" s="12"/>
    </row>
    <row r="446" spans="1:2" ht="12.75">
      <c r="A446" s="12"/>
      <c r="B446" s="12"/>
    </row>
    <row r="447" spans="1:2" ht="12.75">
      <c r="A447" s="12"/>
      <c r="B447" s="12"/>
    </row>
    <row r="448" spans="1:2" ht="12.75">
      <c r="A448" s="12"/>
      <c r="B448" s="12"/>
    </row>
    <row r="449" spans="1:2" ht="12.75">
      <c r="A449" s="12"/>
      <c r="B449" s="12"/>
    </row>
    <row r="450" spans="1:2" ht="12.75">
      <c r="A450" s="12"/>
      <c r="B450" s="12"/>
    </row>
    <row r="451" spans="1:2" ht="12.75">
      <c r="A451" s="12"/>
      <c r="B451" s="12"/>
    </row>
    <row r="452" spans="1:2" ht="12.75">
      <c r="A452" s="12"/>
      <c r="B452" s="12"/>
    </row>
    <row r="453" spans="1:2" ht="12.75">
      <c r="A453" s="12"/>
      <c r="B453" s="12"/>
    </row>
    <row r="454" spans="1:2" ht="12.75">
      <c r="A454" s="12"/>
      <c r="B454" s="12"/>
    </row>
    <row r="455" spans="1:2" ht="12.75">
      <c r="A455" s="12"/>
      <c r="B455" s="12"/>
    </row>
    <row r="456" spans="1:2" ht="12.75">
      <c r="A456" s="12"/>
      <c r="B456" s="12"/>
    </row>
    <row r="457" spans="1:2" ht="12.75">
      <c r="A457" s="12"/>
      <c r="B457" s="12"/>
    </row>
    <row r="458" spans="1:2" ht="12.75">
      <c r="A458" s="12"/>
      <c r="B458" s="12"/>
    </row>
    <row r="459" spans="1:2" ht="12.75">
      <c r="A459" s="12"/>
      <c r="B459" s="12"/>
    </row>
    <row r="460" spans="1:2" ht="12.75">
      <c r="A460" s="12"/>
      <c r="B460" s="12"/>
    </row>
    <row r="461" spans="1:2" ht="12.75">
      <c r="A461" s="12"/>
      <c r="B461" s="12"/>
    </row>
    <row r="462" spans="1:2" ht="12.75">
      <c r="A462" s="12"/>
      <c r="B462" s="12"/>
    </row>
    <row r="463" spans="1:2" ht="12.75">
      <c r="A463" s="12"/>
      <c r="B463" s="12"/>
    </row>
    <row r="464" spans="1:2" ht="12.75">
      <c r="A464" s="12"/>
      <c r="B464" s="12"/>
    </row>
    <row r="465" spans="1:2" ht="12.75">
      <c r="A465" s="12"/>
      <c r="B465" s="12"/>
    </row>
    <row r="466" spans="1:2" ht="12.75">
      <c r="A466" s="12"/>
      <c r="B466" s="12"/>
    </row>
  </sheetData>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172" zoomScaleNormal="172" workbookViewId="0">
      <selection activeCell="H1" sqref="H1"/>
    </sheetView>
  </sheetViews>
  <sheetFormatPr baseColWidth="10" defaultRowHeight="12.75"/>
  <cols>
    <col min="1" max="1" width="3.7109375" customWidth="1"/>
    <col min="2" max="4" width="11.42578125" customWidth="1"/>
    <col min="7" max="7" width="4.140625" customWidth="1"/>
    <col min="8" max="8" width="14.7109375" customWidth="1"/>
    <col min="9" max="9" width="15.85546875" customWidth="1"/>
  </cols>
  <sheetData>
    <row r="1" spans="1:35" ht="15.75">
      <c r="B1" s="99" t="s">
        <v>28</v>
      </c>
      <c r="C1" s="99"/>
      <c r="D1" s="99"/>
      <c r="E1" s="99"/>
      <c r="F1" s="99"/>
      <c r="G1" s="99"/>
      <c r="H1" s="99"/>
      <c r="I1" s="99"/>
      <c r="J1" s="99"/>
    </row>
    <row r="2" spans="1:35">
      <c r="B2" s="174"/>
      <c r="C2" s="174"/>
      <c r="D2" s="174"/>
      <c r="E2" s="174"/>
      <c r="F2" s="174"/>
      <c r="G2" s="174"/>
      <c r="H2" s="174"/>
      <c r="I2" s="174"/>
      <c r="J2" s="174"/>
    </row>
    <row r="3" spans="1:35">
      <c r="B3" s="175" t="s">
        <v>29</v>
      </c>
      <c r="C3" s="16"/>
      <c r="D3" s="174"/>
      <c r="E3" s="16"/>
      <c r="F3" s="276" t="s">
        <v>267</v>
      </c>
      <c r="G3" s="277"/>
      <c r="H3" s="16"/>
      <c r="I3" s="179"/>
      <c r="J3" s="174"/>
    </row>
    <row r="4" spans="1:35">
      <c r="B4" s="175"/>
      <c r="C4" s="16"/>
      <c r="D4" s="174"/>
      <c r="E4" s="16"/>
      <c r="F4" s="176"/>
      <c r="G4" s="16"/>
      <c r="H4" s="16"/>
      <c r="I4" s="179"/>
      <c r="J4" s="174"/>
    </row>
    <row r="5" spans="1:35">
      <c r="B5" s="175" t="s">
        <v>30</v>
      </c>
      <c r="C5" s="16"/>
      <c r="D5" s="174"/>
      <c r="E5" s="174"/>
      <c r="F5" s="278">
        <v>2018</v>
      </c>
      <c r="G5" s="279"/>
      <c r="H5" s="16"/>
      <c r="I5" s="174"/>
      <c r="J5" s="174"/>
    </row>
    <row r="6" spans="1:35">
      <c r="B6" s="175"/>
      <c r="C6" s="16"/>
      <c r="D6" s="174"/>
      <c r="E6" s="174"/>
      <c r="F6" s="177"/>
      <c r="G6" s="16"/>
      <c r="H6" s="16"/>
      <c r="I6" s="174"/>
      <c r="J6" s="174"/>
    </row>
    <row r="7" spans="1:35">
      <c r="B7" s="178" t="s">
        <v>31</v>
      </c>
      <c r="C7" s="16"/>
      <c r="D7" s="174"/>
      <c r="E7" s="174"/>
      <c r="F7" s="177"/>
      <c r="G7" s="16"/>
      <c r="H7" s="16"/>
      <c r="I7" s="174"/>
      <c r="J7" s="174"/>
    </row>
    <row r="8" spans="1:35">
      <c r="B8" s="16"/>
      <c r="C8" s="16"/>
      <c r="D8" s="16"/>
      <c r="E8" s="16"/>
      <c r="F8" s="16"/>
      <c r="G8" s="16"/>
      <c r="H8" s="16"/>
      <c r="I8" s="16"/>
      <c r="J8" s="16"/>
    </row>
    <row r="9" spans="1:35" ht="42" customHeight="1">
      <c r="B9" s="286" t="s">
        <v>32</v>
      </c>
      <c r="C9" s="287"/>
      <c r="D9" s="288"/>
      <c r="E9" s="283" t="s">
        <v>33</v>
      </c>
      <c r="F9" s="284"/>
      <c r="G9" s="284"/>
      <c r="H9" s="284"/>
      <c r="I9" s="285"/>
      <c r="J9" s="16"/>
    </row>
    <row r="10" spans="1:35" ht="42" customHeight="1">
      <c r="B10" s="286" t="s">
        <v>34</v>
      </c>
      <c r="C10" s="287"/>
      <c r="D10" s="288"/>
      <c r="E10" s="283" t="s">
        <v>35</v>
      </c>
      <c r="F10" s="284"/>
      <c r="G10" s="284"/>
      <c r="H10" s="284"/>
      <c r="I10" s="285"/>
      <c r="J10" s="16"/>
    </row>
    <row r="11" spans="1:35" ht="42" customHeight="1">
      <c r="B11" s="286" t="s">
        <v>36</v>
      </c>
      <c r="C11" s="287"/>
      <c r="D11" s="288"/>
      <c r="E11" s="283" t="s">
        <v>37</v>
      </c>
      <c r="F11" s="284"/>
      <c r="G11" s="284"/>
      <c r="H11" s="284"/>
      <c r="I11" s="285"/>
      <c r="J11" s="16"/>
    </row>
    <row r="12" spans="1:35" ht="42" customHeight="1">
      <c r="B12" s="286" t="s">
        <v>38</v>
      </c>
      <c r="C12" s="287"/>
      <c r="D12" s="288"/>
      <c r="E12" s="283" t="s">
        <v>39</v>
      </c>
      <c r="F12" s="284"/>
      <c r="G12" s="284"/>
      <c r="H12" s="284"/>
      <c r="I12" s="285"/>
      <c r="J12" s="16"/>
    </row>
    <row r="13" spans="1:35">
      <c r="B13" s="179"/>
      <c r="C13" s="179"/>
      <c r="D13" s="179"/>
      <c r="E13" s="180"/>
      <c r="F13" s="180"/>
      <c r="G13" s="180"/>
      <c r="H13" s="180"/>
      <c r="I13" s="180"/>
      <c r="J13" s="16"/>
    </row>
    <row r="14" spans="1:35">
      <c r="A14" s="181"/>
      <c r="B14" s="182" t="s">
        <v>40</v>
      </c>
      <c r="F14" s="211">
        <v>0.16</v>
      </c>
      <c r="G14" s="183"/>
      <c r="H14" s="182" t="s">
        <v>41</v>
      </c>
      <c r="I14" s="197"/>
      <c r="J14" s="211">
        <v>0.02</v>
      </c>
      <c r="L14" s="197"/>
      <c r="M14" s="181"/>
      <c r="N14" s="181"/>
      <c r="O14" s="181"/>
      <c r="P14" s="181"/>
      <c r="Q14" s="181"/>
      <c r="R14" s="197"/>
      <c r="S14" s="181"/>
      <c r="T14" s="181"/>
      <c r="U14" s="181"/>
      <c r="V14" s="181"/>
      <c r="W14" s="181"/>
      <c r="X14" s="197"/>
      <c r="Y14" s="181"/>
      <c r="Z14" s="181"/>
      <c r="AA14" s="181"/>
      <c r="AB14" s="181"/>
      <c r="AC14" s="181"/>
      <c r="AH14" s="181"/>
      <c r="AI14" s="181"/>
    </row>
    <row r="15" spans="1:35">
      <c r="A15" s="181"/>
      <c r="B15" s="182" t="s">
        <v>42</v>
      </c>
      <c r="F15" s="211">
        <v>0.25</v>
      </c>
      <c r="G15" s="183"/>
      <c r="H15" s="182" t="s">
        <v>43</v>
      </c>
      <c r="I15" s="197"/>
      <c r="J15" s="211">
        <v>0.18</v>
      </c>
      <c r="L15" s="197"/>
      <c r="M15" s="181"/>
      <c r="N15" s="181"/>
      <c r="O15" s="181"/>
      <c r="P15" s="181"/>
      <c r="Q15" s="181"/>
      <c r="R15" s="197"/>
      <c r="S15" s="181"/>
      <c r="T15" s="181"/>
      <c r="U15" s="181"/>
      <c r="V15" s="181"/>
      <c r="W15" s="181"/>
      <c r="X15" s="197"/>
      <c r="Y15" s="181"/>
      <c r="Z15" s="181"/>
      <c r="AA15" s="181"/>
      <c r="AB15" s="181"/>
      <c r="AC15" s="181"/>
      <c r="AH15" s="181"/>
      <c r="AI15" s="181"/>
    </row>
    <row r="16" spans="1:35">
      <c r="A16" s="181"/>
      <c r="B16" s="184" t="s">
        <v>44</v>
      </c>
      <c r="F16" s="185">
        <f>1-F14-F15-J14*2</f>
        <v>0.54999999999999993</v>
      </c>
      <c r="G16" s="186"/>
      <c r="H16" s="182" t="s">
        <v>45</v>
      </c>
      <c r="I16" s="197"/>
      <c r="J16" s="198">
        <f>1-J15-J14</f>
        <v>0.8</v>
      </c>
      <c r="L16" s="197"/>
      <c r="M16" s="181"/>
      <c r="N16" s="181"/>
      <c r="O16" s="181"/>
      <c r="P16" s="181"/>
      <c r="Q16" s="181"/>
      <c r="R16" s="197"/>
      <c r="S16" s="181"/>
      <c r="T16" s="181"/>
      <c r="U16" s="181"/>
      <c r="V16" s="181"/>
      <c r="W16" s="181"/>
      <c r="X16" s="197"/>
      <c r="Y16" s="181"/>
      <c r="Z16" s="181"/>
      <c r="AA16" s="181"/>
      <c r="AB16" s="181"/>
      <c r="AC16" s="181"/>
      <c r="AH16" s="181"/>
      <c r="AI16" s="181"/>
    </row>
    <row r="17" spans="2:10" ht="15">
      <c r="B17" s="182" t="s">
        <v>46</v>
      </c>
      <c r="C17" s="5"/>
      <c r="D17" s="5"/>
      <c r="E17" s="5"/>
      <c r="F17" s="187">
        <v>2.7E-2</v>
      </c>
      <c r="G17" s="188"/>
    </row>
    <row r="18" spans="2:10">
      <c r="B18" s="179"/>
      <c r="C18" s="179"/>
      <c r="D18" s="179"/>
      <c r="E18" s="180"/>
      <c r="F18" s="180"/>
      <c r="G18" s="180"/>
      <c r="H18" s="180"/>
      <c r="I18" s="180"/>
      <c r="J18" s="16"/>
    </row>
    <row r="19" spans="2:10">
      <c r="B19" s="189" t="s">
        <v>47</v>
      </c>
      <c r="C19" s="190"/>
      <c r="D19" s="190"/>
      <c r="E19" s="191"/>
      <c r="F19" s="192"/>
      <c r="G19" s="192"/>
      <c r="H19" s="192"/>
      <c r="I19" s="192"/>
      <c r="J19" s="16"/>
    </row>
    <row r="20" spans="2:10">
      <c r="B20" s="189"/>
      <c r="C20" s="189"/>
      <c r="D20" s="190"/>
      <c r="E20" s="193"/>
      <c r="F20" s="193"/>
      <c r="G20" s="193"/>
      <c r="H20" s="193"/>
      <c r="I20" s="193"/>
      <c r="J20" s="16"/>
    </row>
    <row r="21" spans="2:10">
      <c r="B21" s="189"/>
      <c r="C21" s="16"/>
      <c r="D21" s="190"/>
      <c r="E21" s="190" t="s">
        <v>48</v>
      </c>
      <c r="F21" s="280"/>
      <c r="G21" s="281"/>
      <c r="H21" s="282"/>
      <c r="I21" s="199"/>
      <c r="J21" s="16"/>
    </row>
    <row r="22" spans="2:10">
      <c r="B22" s="189"/>
      <c r="C22" s="16"/>
      <c r="D22" s="190"/>
      <c r="E22" s="190" t="s">
        <v>49</v>
      </c>
      <c r="F22" s="280"/>
      <c r="G22" s="281"/>
      <c r="H22" s="282"/>
      <c r="I22" s="199"/>
      <c r="J22" s="16"/>
    </row>
    <row r="23" spans="2:10">
      <c r="B23" s="190"/>
      <c r="C23" s="16"/>
      <c r="D23" s="177"/>
      <c r="E23" s="190" t="s">
        <v>50</v>
      </c>
      <c r="F23" s="280"/>
      <c r="G23" s="281"/>
      <c r="H23" s="282"/>
      <c r="I23" s="192"/>
      <c r="J23" s="16"/>
    </row>
    <row r="24" spans="2:10" ht="15">
      <c r="B24" s="49"/>
      <c r="C24" s="49"/>
      <c r="D24" s="194"/>
      <c r="E24" s="49"/>
    </row>
    <row r="25" spans="2:10" ht="15">
      <c r="B25" s="195"/>
    </row>
    <row r="26" spans="2:10" ht="15">
      <c r="B26" s="196"/>
    </row>
  </sheetData>
  <mergeCells count="13">
    <mergeCell ref="B12:D12"/>
    <mergeCell ref="B9:D9"/>
    <mergeCell ref="B10:D10"/>
    <mergeCell ref="E9:I9"/>
    <mergeCell ref="E10:I10"/>
    <mergeCell ref="E11:I11"/>
    <mergeCell ref="B11:D11"/>
    <mergeCell ref="F3:G3"/>
    <mergeCell ref="F5:G5"/>
    <mergeCell ref="F21:H21"/>
    <mergeCell ref="F22:H22"/>
    <mergeCell ref="F23:H23"/>
    <mergeCell ref="E12:I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 sqref="B1:D7"/>
    </sheetView>
  </sheetViews>
  <sheetFormatPr baseColWidth="10" defaultRowHeight="12.75"/>
  <cols>
    <col min="1" max="1" width="8.28515625" customWidth="1"/>
    <col min="2" max="2" width="36.85546875" customWidth="1"/>
    <col min="3" max="3" width="19.85546875" customWidth="1"/>
    <col min="4" max="4" width="14.7109375" customWidth="1"/>
  </cols>
  <sheetData>
    <row r="1" spans="1:4" ht="18.75" thickBot="1">
      <c r="A1" s="245" t="s">
        <v>625</v>
      </c>
      <c r="B1" s="368" t="s">
        <v>626</v>
      </c>
      <c r="C1" s="366" t="s">
        <v>632</v>
      </c>
      <c r="D1" s="367"/>
    </row>
    <row r="2" spans="1:4" ht="18">
      <c r="A2" s="257"/>
      <c r="B2" s="369"/>
      <c r="C2" s="258" t="s">
        <v>250</v>
      </c>
      <c r="D2" s="258" t="s">
        <v>633</v>
      </c>
    </row>
    <row r="3" spans="1:4" ht="60">
      <c r="A3" s="249">
        <v>1</v>
      </c>
      <c r="B3" s="247" t="s">
        <v>627</v>
      </c>
      <c r="C3" s="253">
        <f>+(59454697241*5)+1052099910+798000000</f>
        <v>299123586115</v>
      </c>
      <c r="D3" s="255">
        <f>+C3/9000</f>
        <v>33235954.012777779</v>
      </c>
    </row>
    <row r="4" spans="1:4" ht="60">
      <c r="A4" s="250">
        <v>2</v>
      </c>
      <c r="B4" s="247" t="s">
        <v>628</v>
      </c>
      <c r="C4" s="256">
        <f>+(1717100244*5)+562340010</f>
        <v>9147841230</v>
      </c>
      <c r="D4" s="255">
        <f t="shared" ref="D4:D6" si="0">+C4/9000</f>
        <v>1016426.8033333333</v>
      </c>
    </row>
    <row r="5" spans="1:4" ht="75">
      <c r="A5" s="250">
        <v>3</v>
      </c>
      <c r="B5" s="247" t="s">
        <v>629</v>
      </c>
      <c r="C5" s="256">
        <f>+(756800004*5)+14700000+38600000+100440000+70000000</f>
        <v>4007740020</v>
      </c>
      <c r="D5" s="255">
        <f t="shared" si="0"/>
        <v>445304.44666666666</v>
      </c>
    </row>
    <row r="6" spans="1:4" ht="60">
      <c r="A6" s="250">
        <v>4</v>
      </c>
      <c r="B6" s="248" t="s">
        <v>630</v>
      </c>
      <c r="C6" s="256">
        <f>+(3217548059*5)+44027474700+2581645383+142620009+767879840+182750000</f>
        <v>63790110227</v>
      </c>
      <c r="D6" s="255">
        <f t="shared" si="0"/>
        <v>7087790.0252222223</v>
      </c>
    </row>
    <row r="7" spans="1:4" ht="16.5" thickBot="1">
      <c r="A7" s="252"/>
      <c r="B7" s="251" t="s">
        <v>631</v>
      </c>
      <c r="C7" s="254">
        <f>SUM(C3:C6)</f>
        <v>376069277592</v>
      </c>
      <c r="D7" s="254">
        <f>SUM(D3:D6)</f>
        <v>41785475.287999995</v>
      </c>
    </row>
  </sheetData>
  <mergeCells count="2">
    <mergeCell ref="C1:D1"/>
    <mergeCell ref="B1: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indexed="31"/>
  </sheetPr>
  <dimension ref="F30"/>
  <sheetViews>
    <sheetView view="pageBreakPreview" zoomScale="196" zoomScaleNormal="100" zoomScaleSheetLayoutView="196" workbookViewId="0">
      <selection activeCell="F30" sqref="F30"/>
    </sheetView>
  </sheetViews>
  <sheetFormatPr baseColWidth="10" defaultColWidth="9.140625" defaultRowHeight="12.75"/>
  <cols>
    <col min="1" max="1" width="9.140625" customWidth="1"/>
  </cols>
  <sheetData>
    <row r="30" spans="6:6">
      <c r="F30" s="173"/>
    </row>
  </sheetData>
  <pageMargins left="0.70833333333333304" right="0.70833333333333304" top="0.74791666666666701" bottom="0.74791666666666701" header="0.31458333333333299" footer="0.31458333333333299"/>
  <pageSetup orientation="portrait" horizontalDpi="1200" verticalDpi="1200" r:id="rId1"/>
  <drawing r:id="rId2"/>
  <legacyDrawing r:id="rId3"/>
  <controls>
    <mc:AlternateContent xmlns:mc="http://schemas.openxmlformats.org/markup-compatibility/2006">
      <mc:Choice Requires="x14">
        <control shapeId="35842" r:id="rId4" name="InsertRow">
          <controlPr defaultSize="0" altText="" r:id="rId5">
            <anchor moveWithCells="1">
              <from>
                <xdr:col>4</xdr:col>
                <xdr:colOff>19050</xdr:colOff>
                <xdr:row>20</xdr:row>
                <xdr:rowOff>133350</xdr:rowOff>
              </from>
              <to>
                <xdr:col>6</xdr:col>
                <xdr:colOff>66675</xdr:colOff>
                <xdr:row>22</xdr:row>
                <xdr:rowOff>152400</xdr:rowOff>
              </to>
            </anchor>
          </controlPr>
        </control>
      </mc:Choice>
      <mc:Fallback>
        <control shapeId="35842" r:id="rId4" name="InsertRow"/>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AY43"/>
  <sheetViews>
    <sheetView showGridLines="0" view="pageBreakPreview" zoomScale="145" zoomScaleNormal="100" zoomScaleSheetLayoutView="145" workbookViewId="0">
      <pane xSplit="3" ySplit="3" topLeftCell="D15" activePane="bottomRight" state="frozen"/>
      <selection pane="topRight" activeCell="D1" sqref="D1"/>
      <selection pane="bottomLeft" activeCell="A4" sqref="A4"/>
      <selection pane="bottomRight" activeCell="G20" sqref="G20"/>
    </sheetView>
  </sheetViews>
  <sheetFormatPr baseColWidth="10" defaultColWidth="9.140625" defaultRowHeight="12.75"/>
  <cols>
    <col min="1" max="1" width="3.85546875" style="15" customWidth="1"/>
    <col min="2" max="2" width="23.42578125" style="15" customWidth="1"/>
    <col min="3" max="3" width="18" style="15" customWidth="1"/>
    <col min="4" max="6" width="12.5703125" style="15" customWidth="1"/>
    <col min="7" max="7" width="14.85546875" style="15" customWidth="1"/>
    <col min="8" max="8" width="14.7109375" style="15" customWidth="1"/>
    <col min="9" max="9" width="14.5703125" style="15" customWidth="1"/>
    <col min="10" max="40" width="12.5703125" style="15" customWidth="1"/>
    <col min="41" max="47" width="12.5703125" style="16" customWidth="1"/>
    <col min="48" max="49" width="12.5703125" style="15" customWidth="1"/>
    <col min="50" max="51" width="12.5703125" style="16" customWidth="1"/>
    <col min="52" max="52" width="9.140625" style="16" customWidth="1"/>
    <col min="53" max="16384" width="9.140625" style="16"/>
  </cols>
  <sheetData>
    <row r="1" spans="1:51" s="5" customFormat="1" ht="15" customHeight="1">
      <c r="A1" s="289" t="s">
        <v>51</v>
      </c>
      <c r="B1" s="290" t="s">
        <v>268</v>
      </c>
      <c r="C1" s="289" t="s">
        <v>53</v>
      </c>
      <c r="D1" s="289">
        <f>'Page d''accueil'!F5</f>
        <v>2018</v>
      </c>
      <c r="E1" s="289"/>
      <c r="F1" s="289"/>
      <c r="G1" s="289"/>
      <c r="H1" s="289"/>
      <c r="I1" s="289"/>
      <c r="J1" s="289"/>
      <c r="K1" s="289"/>
      <c r="L1" s="289">
        <f>D1+1</f>
        <v>2019</v>
      </c>
      <c r="M1" s="289"/>
      <c r="N1" s="289"/>
      <c r="O1" s="289"/>
      <c r="P1" s="289"/>
      <c r="Q1" s="289"/>
      <c r="R1" s="289"/>
      <c r="S1" s="289"/>
      <c r="T1" s="289"/>
      <c r="U1" s="289"/>
      <c r="V1" s="289">
        <f>L1+1</f>
        <v>2020</v>
      </c>
      <c r="W1" s="289"/>
      <c r="X1" s="289"/>
      <c r="Y1" s="289"/>
      <c r="Z1" s="289"/>
      <c r="AA1" s="289"/>
      <c r="AB1" s="289"/>
      <c r="AC1" s="289"/>
      <c r="AD1" s="289"/>
      <c r="AE1" s="289"/>
      <c r="AF1" s="289">
        <f>V1+1</f>
        <v>2021</v>
      </c>
      <c r="AG1" s="289"/>
      <c r="AH1" s="289"/>
      <c r="AI1" s="289"/>
      <c r="AJ1" s="289"/>
      <c r="AK1" s="289"/>
      <c r="AL1" s="289"/>
      <c r="AM1" s="289"/>
      <c r="AN1" s="289"/>
      <c r="AO1" s="289"/>
      <c r="AP1" s="289">
        <f>AF1+1</f>
        <v>2022</v>
      </c>
      <c r="AQ1" s="289"/>
      <c r="AR1" s="289"/>
      <c r="AS1" s="289"/>
      <c r="AT1" s="289"/>
      <c r="AU1" s="289"/>
      <c r="AV1" s="289"/>
      <c r="AW1" s="289"/>
      <c r="AX1" s="289"/>
      <c r="AY1" s="289"/>
    </row>
    <row r="2" spans="1:51" s="5" customFormat="1" ht="15" hidden="1" customHeight="1">
      <c r="A2" s="289"/>
      <c r="B2" s="291"/>
      <c r="C2" s="289"/>
      <c r="D2" s="167"/>
      <c r="E2" s="230"/>
      <c r="F2" s="167"/>
      <c r="G2" s="167"/>
      <c r="H2" s="167"/>
      <c r="I2" s="167"/>
      <c r="J2" s="167"/>
      <c r="K2" s="167"/>
      <c r="L2" s="167"/>
      <c r="M2" s="230"/>
      <c r="N2" s="167"/>
      <c r="O2" s="228"/>
      <c r="P2" s="228"/>
      <c r="Q2" s="167"/>
      <c r="R2" s="167"/>
      <c r="S2" s="167"/>
      <c r="T2" s="167"/>
      <c r="U2" s="167"/>
      <c r="V2" s="167"/>
      <c r="W2" s="230"/>
      <c r="X2" s="167"/>
      <c r="Y2" s="167"/>
      <c r="Z2" s="228"/>
      <c r="AA2" s="228"/>
      <c r="AB2" s="167"/>
      <c r="AC2" s="167"/>
      <c r="AD2" s="167"/>
      <c r="AE2" s="167"/>
      <c r="AF2" s="167"/>
      <c r="AG2" s="230"/>
      <c r="AH2" s="167"/>
      <c r="AI2" s="167"/>
      <c r="AJ2" s="228"/>
      <c r="AK2" s="228"/>
      <c r="AL2" s="167"/>
      <c r="AM2" s="167"/>
      <c r="AN2" s="167"/>
      <c r="AO2" s="167"/>
      <c r="AP2" s="167"/>
      <c r="AQ2" s="230"/>
      <c r="AR2" s="167"/>
      <c r="AS2" s="167"/>
      <c r="AT2" s="228"/>
      <c r="AU2" s="228"/>
      <c r="AV2" s="167"/>
      <c r="AW2" s="167"/>
      <c r="AX2" s="167"/>
      <c r="AY2" s="167"/>
    </row>
    <row r="3" spans="1:51" s="5" customFormat="1" ht="36">
      <c r="A3" s="289"/>
      <c r="B3" s="292"/>
      <c r="C3" s="289"/>
      <c r="D3" s="167" t="s">
        <v>54</v>
      </c>
      <c r="E3" s="168" t="s">
        <v>577</v>
      </c>
      <c r="F3" s="168" t="s">
        <v>55</v>
      </c>
      <c r="G3" s="168" t="s">
        <v>56</v>
      </c>
      <c r="H3" s="168" t="s">
        <v>57</v>
      </c>
      <c r="I3" s="168" t="s">
        <v>58</v>
      </c>
      <c r="J3" s="167" t="s">
        <v>59</v>
      </c>
      <c r="K3" s="167" t="s">
        <v>60</v>
      </c>
      <c r="L3" s="167" t="s">
        <v>54</v>
      </c>
      <c r="M3" s="168" t="str">
        <f>E3</f>
        <v>Population cible pour LF</v>
      </c>
      <c r="N3" s="168" t="str">
        <f>F3</f>
        <v>Population cible pour l'oncho</v>
      </c>
      <c r="O3" s="168" t="s">
        <v>559</v>
      </c>
      <c r="P3" s="168" t="s">
        <v>558</v>
      </c>
      <c r="Q3" s="168" t="str">
        <f>G3</f>
        <v>Population cible pour le trachome</v>
      </c>
      <c r="R3" s="168" t="str">
        <f>H3</f>
        <v>Population adulte pour la schisto</v>
      </c>
      <c r="S3" s="168" t="str">
        <f>I3</f>
        <v>Population adulte pour la STH</v>
      </c>
      <c r="T3" s="167" t="s">
        <v>59</v>
      </c>
      <c r="U3" s="167" t="s">
        <v>60</v>
      </c>
      <c r="V3" s="167" t="s">
        <v>54</v>
      </c>
      <c r="W3" s="168" t="str">
        <f>M3</f>
        <v>Population cible pour LF</v>
      </c>
      <c r="X3" s="168" t="str">
        <f>N3</f>
        <v>Population cible pour l'oncho</v>
      </c>
      <c r="Y3" s="168" t="str">
        <f t="shared" ref="Y3" si="0">Q3</f>
        <v>Population cible pour le trachome</v>
      </c>
      <c r="Z3" s="168" t="s">
        <v>559</v>
      </c>
      <c r="AA3" s="168" t="s">
        <v>558</v>
      </c>
      <c r="AB3" s="168" t="str">
        <f>R3</f>
        <v>Population adulte pour la schisto</v>
      </c>
      <c r="AC3" s="168" t="str">
        <f>S3</f>
        <v>Population adulte pour la STH</v>
      </c>
      <c r="AD3" s="167" t="s">
        <v>59</v>
      </c>
      <c r="AE3" s="167" t="s">
        <v>60</v>
      </c>
      <c r="AF3" s="167" t="s">
        <v>54</v>
      </c>
      <c r="AG3" s="168" t="str">
        <f>W3</f>
        <v>Population cible pour LF</v>
      </c>
      <c r="AH3" s="168" t="str">
        <f>X3</f>
        <v>Population cible pour l'oncho</v>
      </c>
      <c r="AI3" s="168" t="str">
        <f>Y3</f>
        <v>Population cible pour le trachome</v>
      </c>
      <c r="AJ3" s="168" t="s">
        <v>559</v>
      </c>
      <c r="AK3" s="168" t="s">
        <v>558</v>
      </c>
      <c r="AL3" s="168" t="str">
        <f>AB3</f>
        <v>Population adulte pour la schisto</v>
      </c>
      <c r="AM3" s="168" t="str">
        <f>AC3</f>
        <v>Population adulte pour la STH</v>
      </c>
      <c r="AN3" s="167" t="s">
        <v>59</v>
      </c>
      <c r="AO3" s="167" t="s">
        <v>60</v>
      </c>
      <c r="AP3" s="167" t="s">
        <v>54</v>
      </c>
      <c r="AQ3" s="168" t="str">
        <f>AG3</f>
        <v>Population cible pour LF</v>
      </c>
      <c r="AR3" s="168" t="str">
        <f>AH3</f>
        <v>Population cible pour l'oncho</v>
      </c>
      <c r="AS3" s="168" t="str">
        <f>AI3</f>
        <v>Population cible pour le trachome</v>
      </c>
      <c r="AT3" s="168" t="s">
        <v>559</v>
      </c>
      <c r="AU3" s="168" t="s">
        <v>558</v>
      </c>
      <c r="AV3" s="168" t="str">
        <f>AL3</f>
        <v>Population adulte pour la schisto</v>
      </c>
      <c r="AW3" s="168" t="str">
        <f>AM3</f>
        <v>Population adulte pour la STH</v>
      </c>
      <c r="AX3" s="167" t="s">
        <v>59</v>
      </c>
      <c r="AY3" s="167" t="s">
        <v>60</v>
      </c>
    </row>
    <row r="4" spans="1:51" s="5" customFormat="1" ht="12" customHeight="1">
      <c r="A4" s="169">
        <v>1</v>
      </c>
      <c r="B4" s="170" t="s">
        <v>269</v>
      </c>
      <c r="C4" s="170" t="s">
        <v>270</v>
      </c>
      <c r="D4" s="171">
        <v>235669</v>
      </c>
      <c r="E4" s="171">
        <v>0</v>
      </c>
      <c r="F4" s="171">
        <v>0</v>
      </c>
      <c r="G4" s="171">
        <v>0</v>
      </c>
      <c r="H4" s="171">
        <v>0</v>
      </c>
      <c r="I4" s="171">
        <v>0</v>
      </c>
      <c r="J4" s="172">
        <v>0</v>
      </c>
      <c r="K4" s="172">
        <f>D4*'Page d''accueil'!$F$15</f>
        <v>58917.25</v>
      </c>
      <c r="L4" s="172">
        <f>D4*('Page d''accueil'!$F$17+1)</f>
        <v>242032.06299999997</v>
      </c>
      <c r="M4" s="172">
        <f>E4*(1+'Page d''accueil'!$F$17)</f>
        <v>0</v>
      </c>
      <c r="N4" s="172">
        <f>F4*(1+'Page d''accueil'!$F$17)</f>
        <v>0</v>
      </c>
      <c r="O4" s="172">
        <f>P4/2</f>
        <v>121016.03149999998</v>
      </c>
      <c r="P4" s="172">
        <v>242032.06299999997</v>
      </c>
      <c r="Q4" s="172">
        <f>G4*(1+'Page d''accueil'!$F$17)</f>
        <v>0</v>
      </c>
      <c r="R4" s="172">
        <f>H4*(1+'Page d''accueil'!$F$17)</f>
        <v>0</v>
      </c>
      <c r="S4" s="172">
        <f>I4*(1+'Page d''accueil'!$F$17)</f>
        <v>0</v>
      </c>
      <c r="T4" s="172">
        <f>L4*'Page d''accueil'!$F$14</f>
        <v>38725.130079999995</v>
      </c>
      <c r="U4" s="172">
        <f>L4*'Page d''accueil'!$F$15</f>
        <v>60508.015749999991</v>
      </c>
      <c r="V4" s="172">
        <f>L4*('Page d''accueil'!$F$17+1)</f>
        <v>248566.92870099994</v>
      </c>
      <c r="W4" s="172">
        <f>M4*(1+'Page d''accueil'!$F$17)</f>
        <v>0</v>
      </c>
      <c r="X4" s="172">
        <f>N4*(1+'Page d''accueil'!$F$17)</f>
        <v>0</v>
      </c>
      <c r="Y4" s="172">
        <f>Q4*(1+'Page d''accueil'!$F$17)</f>
        <v>0</v>
      </c>
      <c r="Z4" s="172">
        <f>AA4/2</f>
        <v>124283.46435049997</v>
      </c>
      <c r="AA4" s="172">
        <v>248566.92870099994</v>
      </c>
      <c r="AB4" s="172">
        <f>R4*(1+'Page d''accueil'!$F$17)</f>
        <v>0</v>
      </c>
      <c r="AC4" s="172">
        <f>S4*(1+'Page d''accueil'!$F$17)</f>
        <v>0</v>
      </c>
      <c r="AD4" s="172">
        <f>V4*'Page d''accueil'!$F$14</f>
        <v>39770.708592159994</v>
      </c>
      <c r="AE4" s="172">
        <f>V4*'Page d''accueil'!$F$15</f>
        <v>62141.732175249985</v>
      </c>
      <c r="AF4" s="172">
        <f>V4*('Page d''accueil'!$F$17+1)</f>
        <v>255278.23577592691</v>
      </c>
      <c r="AG4" s="172">
        <f>W4*(1+'Page d''accueil'!$F$17)</f>
        <v>0</v>
      </c>
      <c r="AH4" s="172">
        <f>X4*(1+'Page d''accueil'!$F$17)</f>
        <v>0</v>
      </c>
      <c r="AI4" s="172">
        <f>Y4*(1+'Page d''accueil'!$F$17)</f>
        <v>0</v>
      </c>
      <c r="AJ4" s="172">
        <f>AK4/2</f>
        <v>127639.11788796345</v>
      </c>
      <c r="AK4" s="172">
        <f>AA4*('Page d''accueil'!$F$17+1)</f>
        <v>255278.23577592691</v>
      </c>
      <c r="AL4" s="172">
        <f>AB4*(1+'Page d''accueil'!$F$17)</f>
        <v>0</v>
      </c>
      <c r="AM4" s="172">
        <f>AC4*(1+'Page d''accueil'!$F$17)</f>
        <v>0</v>
      </c>
      <c r="AN4" s="172">
        <f>AF4*'Page d''accueil'!$F$14</f>
        <v>40844.517724148303</v>
      </c>
      <c r="AO4" s="172">
        <f>AF4*'Page d''accueil'!$F$15</f>
        <v>63819.558943981727</v>
      </c>
      <c r="AP4" s="172">
        <f>AF4*('Page d''accueil'!$F$17+1)</f>
        <v>262170.74814187689</v>
      </c>
      <c r="AQ4" s="172">
        <f>AG4*(1+'Page d''accueil'!$F$17)</f>
        <v>0</v>
      </c>
      <c r="AR4" s="172">
        <f>AH4*(1+'Page d''accueil'!$F$17)</f>
        <v>0</v>
      </c>
      <c r="AS4" s="172">
        <f>AI4*(1+'Page d''accueil'!$F$17)</f>
        <v>0</v>
      </c>
      <c r="AT4" s="172">
        <f>AU4/2</f>
        <v>131085.37407093844</v>
      </c>
      <c r="AU4" s="172">
        <f>AK4*('Page d''accueil'!$F$17+1)</f>
        <v>262170.74814187689</v>
      </c>
      <c r="AV4" s="172">
        <f>AL4*(1+'Page d''accueil'!$F$17)</f>
        <v>0</v>
      </c>
      <c r="AW4" s="172">
        <f>AM4*(1+'Page d''accueil'!$F$17)</f>
        <v>0</v>
      </c>
      <c r="AX4" s="172">
        <f>AP4*'Page d''accueil'!$F$14</f>
        <v>41947.319702700304</v>
      </c>
      <c r="AY4" s="172">
        <f>AP4*'Page d''accueil'!$F$15</f>
        <v>65542.687035469222</v>
      </c>
    </row>
    <row r="5" spans="1:51" s="5" customFormat="1" ht="12" customHeight="1">
      <c r="A5" s="169">
        <v>2</v>
      </c>
      <c r="B5" s="170" t="s">
        <v>269</v>
      </c>
      <c r="C5" s="170" t="s">
        <v>271</v>
      </c>
      <c r="D5" s="171">
        <v>501504</v>
      </c>
      <c r="E5" s="171">
        <v>401203.20000000001</v>
      </c>
      <c r="F5" s="171">
        <v>401203.20000000001</v>
      </c>
      <c r="G5" s="171">
        <v>0</v>
      </c>
      <c r="H5" s="171">
        <v>0</v>
      </c>
      <c r="I5" s="171">
        <v>0</v>
      </c>
      <c r="J5" s="172">
        <v>0</v>
      </c>
      <c r="K5" s="172">
        <f>D5*'Page d''accueil'!$F$15</f>
        <v>125376</v>
      </c>
      <c r="L5" s="172">
        <f>D5*('Page d''accueil'!$F$17+1)</f>
        <v>515044.60799999995</v>
      </c>
      <c r="M5" s="172">
        <f>E5*(1+'Page d''accueil'!$F$17)</f>
        <v>412035.68640000001</v>
      </c>
      <c r="N5" s="172">
        <f>F5*(1+'Page d''accueil'!$F$17)</f>
        <v>412035.68640000001</v>
      </c>
      <c r="O5" s="172">
        <f>P5/2</f>
        <v>257522.30399999997</v>
      </c>
      <c r="P5" s="172">
        <v>515044.60799999995</v>
      </c>
      <c r="Q5" s="172">
        <f>G5*(1+'Page d''accueil'!$F$17)</f>
        <v>0</v>
      </c>
      <c r="R5" s="172">
        <f>H5*(1+'Page d''accueil'!$F$17)</f>
        <v>0</v>
      </c>
      <c r="S5" s="172">
        <f>I5*(1+'Page d''accueil'!$F$17)</f>
        <v>0</v>
      </c>
      <c r="T5" s="172">
        <f>L5*'Page d''accueil'!$F$14</f>
        <v>82407.137279999995</v>
      </c>
      <c r="U5" s="172">
        <f>L5*'Page d''accueil'!$F$15</f>
        <v>128761.15199999999</v>
      </c>
      <c r="V5" s="172">
        <f>L5*('Page d''accueil'!$F$17+1)</f>
        <v>528950.81241599994</v>
      </c>
      <c r="W5" s="172">
        <f>M5*(1+'Page d''accueil'!$F$17)</f>
        <v>423160.64993279998</v>
      </c>
      <c r="X5" s="172">
        <f>N5*(1+'Page d''accueil'!$F$17)</f>
        <v>423160.64993279998</v>
      </c>
      <c r="Y5" s="172">
        <f>Q5*(1+'Page d''accueil'!$F$17)</f>
        <v>0</v>
      </c>
      <c r="Z5" s="172">
        <f>AA5/2</f>
        <v>264475.40620799997</v>
      </c>
      <c r="AA5" s="172">
        <v>528950.81241599994</v>
      </c>
      <c r="AB5" s="172">
        <f>R5*(1+'Page d''accueil'!$F$17)</f>
        <v>0</v>
      </c>
      <c r="AC5" s="172">
        <f>S5*(1+'Page d''accueil'!$F$17)</f>
        <v>0</v>
      </c>
      <c r="AD5" s="172">
        <f>V5*'Page d''accueil'!$F$14</f>
        <v>84632.129986559987</v>
      </c>
      <c r="AE5" s="172">
        <f>V5*'Page d''accueil'!$F$15</f>
        <v>132237.70310399999</v>
      </c>
      <c r="AF5" s="172">
        <f>V5*('Page d''accueil'!$F$17+1)</f>
        <v>543232.48435123195</v>
      </c>
      <c r="AG5" s="172">
        <f>W5*(1+'Page d''accueil'!$F$17)</f>
        <v>434585.98748098552</v>
      </c>
      <c r="AH5" s="172">
        <f>X5*(1+'Page d''accueil'!$F$17)</f>
        <v>434585.98748098552</v>
      </c>
      <c r="AI5" s="172">
        <f>Y5*(1+'Page d''accueil'!$F$17)</f>
        <v>0</v>
      </c>
      <c r="AJ5" s="172">
        <f>AK5/2</f>
        <v>271616.24217561597</v>
      </c>
      <c r="AK5" s="172">
        <f>AA5*('Page d''accueil'!$F$17+1)</f>
        <v>543232.48435123195</v>
      </c>
      <c r="AL5" s="172">
        <f>AB5*(1+'Page d''accueil'!$F$17)</f>
        <v>0</v>
      </c>
      <c r="AM5" s="172">
        <f>AC5*(1+'Page d''accueil'!$F$17)</f>
        <v>0</v>
      </c>
      <c r="AN5" s="172">
        <f>AF5*'Page d''accueil'!$F$14</f>
        <v>86917.197496197114</v>
      </c>
      <c r="AO5" s="172">
        <f>AF5*'Page d''accueil'!$F$15</f>
        <v>135808.12108780799</v>
      </c>
      <c r="AP5" s="172">
        <f>AF5*('Page d''accueil'!$F$17+1)</f>
        <v>557899.7614287152</v>
      </c>
      <c r="AQ5" s="172">
        <f>AG5*(1+'Page d''accueil'!$F$17)</f>
        <v>446319.80914297211</v>
      </c>
      <c r="AR5" s="172">
        <f>AH5*(1+'Page d''accueil'!$F$17)</f>
        <v>446319.80914297211</v>
      </c>
      <c r="AS5" s="172">
        <f>AI5*(1+'Page d''accueil'!$F$17)</f>
        <v>0</v>
      </c>
      <c r="AT5" s="172">
        <f>AU5/2</f>
        <v>278949.8807143576</v>
      </c>
      <c r="AU5" s="172">
        <f>AK5*('Page d''accueil'!$F$17+1)</f>
        <v>557899.7614287152</v>
      </c>
      <c r="AV5" s="172">
        <f>AL5*(1+'Page d''accueil'!$F$17)</f>
        <v>0</v>
      </c>
      <c r="AW5" s="172">
        <f>AM5*(1+'Page d''accueil'!$F$17)</f>
        <v>0</v>
      </c>
      <c r="AX5" s="172">
        <f>AP5*'Page d''accueil'!$F$14</f>
        <v>89263.961828594431</v>
      </c>
      <c r="AY5" s="172">
        <f>AP5*'Page d''accueil'!$F$15</f>
        <v>139474.9403571788</v>
      </c>
    </row>
    <row r="6" spans="1:51" s="5" customFormat="1" ht="12" customHeight="1">
      <c r="A6" s="169">
        <v>3</v>
      </c>
      <c r="B6" s="170" t="s">
        <v>269</v>
      </c>
      <c r="C6" s="170" t="s">
        <v>272</v>
      </c>
      <c r="D6" s="171">
        <v>98338</v>
      </c>
      <c r="E6" s="171">
        <v>0</v>
      </c>
      <c r="F6" s="171">
        <v>0</v>
      </c>
      <c r="G6" s="171">
        <v>0</v>
      </c>
      <c r="H6" s="171">
        <v>0</v>
      </c>
      <c r="I6" s="171">
        <v>24584.5</v>
      </c>
      <c r="J6" s="172">
        <v>0</v>
      </c>
      <c r="K6" s="172">
        <f>D6*'Page d''accueil'!$F$15</f>
        <v>24584.5</v>
      </c>
      <c r="L6" s="172">
        <f>D6*('Page d''accueil'!$F$17+1)</f>
        <v>100993.12599999999</v>
      </c>
      <c r="M6" s="172">
        <f>E6*(1+'Page d''accueil'!$F$17)</f>
        <v>0</v>
      </c>
      <c r="N6" s="172">
        <f>F6*(1+'Page d''accueil'!$F$17)</f>
        <v>0</v>
      </c>
      <c r="O6" s="172"/>
      <c r="P6" s="172">
        <v>100993.12599999999</v>
      </c>
      <c r="Q6" s="172">
        <f>G6*(1+'Page d''accueil'!$F$17)</f>
        <v>0</v>
      </c>
      <c r="R6" s="172">
        <f>H6*(1+'Page d''accueil'!$F$17)</f>
        <v>0</v>
      </c>
      <c r="S6" s="172">
        <f>I6*(1+'Page d''accueil'!$F$17)</f>
        <v>25248.281499999997</v>
      </c>
      <c r="T6" s="172">
        <f>L6*'Page d''accueil'!$F$14</f>
        <v>16158.900159999999</v>
      </c>
      <c r="U6" s="172">
        <f>L6*'Page d''accueil'!$F$15</f>
        <v>25248.281499999997</v>
      </c>
      <c r="V6" s="172">
        <f>L6*('Page d''accueil'!$F$17+1)</f>
        <v>103719.94040199998</v>
      </c>
      <c r="W6" s="172">
        <f>M6*(1+'Page d''accueil'!$F$17)</f>
        <v>0</v>
      </c>
      <c r="X6" s="172">
        <f>N6*(1+'Page d''accueil'!$F$17)</f>
        <v>0</v>
      </c>
      <c r="Y6" s="172">
        <f>Q6*(1+'Page d''accueil'!$F$17)</f>
        <v>0</v>
      </c>
      <c r="Z6" s="172"/>
      <c r="AA6" s="172">
        <v>103719.94040199998</v>
      </c>
      <c r="AB6" s="172">
        <f>R6*(1+'Page d''accueil'!$F$17)</f>
        <v>0</v>
      </c>
      <c r="AC6" s="172">
        <f>S6*(1+'Page d''accueil'!$F$17)</f>
        <v>25929.985100499995</v>
      </c>
      <c r="AD6" s="172">
        <f>V6*'Page d''accueil'!$F$14</f>
        <v>16595.190464319996</v>
      </c>
      <c r="AE6" s="172">
        <f>V6*'Page d''accueil'!$F$15</f>
        <v>25929.985100499995</v>
      </c>
      <c r="AF6" s="172">
        <f>V6*('Page d''accueil'!$F$17+1)</f>
        <v>106520.37879285397</v>
      </c>
      <c r="AG6" s="172">
        <f>W6*(1+'Page d''accueil'!$F$17)</f>
        <v>0</v>
      </c>
      <c r="AH6" s="172">
        <f>X6*(1+'Page d''accueil'!$F$17)</f>
        <v>0</v>
      </c>
      <c r="AI6" s="172">
        <f>Y6*(1+'Page d''accueil'!$F$17)</f>
        <v>0</v>
      </c>
      <c r="AJ6" s="172"/>
      <c r="AK6" s="172">
        <f>AA6*('Page d''accueil'!$F$17+1)</f>
        <v>106520.37879285397</v>
      </c>
      <c r="AL6" s="172">
        <f>AB6*(1+'Page d''accueil'!$F$17)</f>
        <v>0</v>
      </c>
      <c r="AM6" s="172">
        <f>AC6*(1+'Page d''accueil'!$F$17)</f>
        <v>26630.094698213492</v>
      </c>
      <c r="AN6" s="172">
        <f>AF6*'Page d''accueil'!$F$14</f>
        <v>17043.260606856635</v>
      </c>
      <c r="AO6" s="172">
        <f>AF6*'Page d''accueil'!$F$15</f>
        <v>26630.094698213492</v>
      </c>
      <c r="AP6" s="172">
        <f>AF6*('Page d''accueil'!$F$17+1)</f>
        <v>109396.42902026101</v>
      </c>
      <c r="AQ6" s="172">
        <f>AG6*(1+'Page d''accueil'!$F$17)</f>
        <v>0</v>
      </c>
      <c r="AR6" s="172">
        <f>AH6*(1+'Page d''accueil'!$F$17)</f>
        <v>0</v>
      </c>
      <c r="AS6" s="172">
        <f>AI6*(1+'Page d''accueil'!$F$17)</f>
        <v>0</v>
      </c>
      <c r="AT6" s="172"/>
      <c r="AU6" s="172">
        <f>AK6*('Page d''accueil'!$F$17+1)</f>
        <v>109396.42902026101</v>
      </c>
      <c r="AV6" s="172">
        <f>AL6*(1+'Page d''accueil'!$F$17)</f>
        <v>0</v>
      </c>
      <c r="AW6" s="172">
        <f>AM6*(1+'Page d''accueil'!$F$17)</f>
        <v>27349.107255065253</v>
      </c>
      <c r="AX6" s="172">
        <f>AP6*'Page d''accueil'!$F$14</f>
        <v>17503.428643241761</v>
      </c>
      <c r="AY6" s="172">
        <f>AP6*'Page d''accueil'!$F$15</f>
        <v>27349.107255065253</v>
      </c>
    </row>
    <row r="7" spans="1:51" s="5" customFormat="1" ht="12" customHeight="1">
      <c r="A7" s="169">
        <v>4</v>
      </c>
      <c r="B7" s="170" t="s">
        <v>269</v>
      </c>
      <c r="C7" s="170" t="s">
        <v>273</v>
      </c>
      <c r="D7" s="171">
        <v>229095</v>
      </c>
      <c r="E7" s="171">
        <v>183276</v>
      </c>
      <c r="F7" s="171">
        <v>183276</v>
      </c>
      <c r="G7" s="171">
        <v>183276</v>
      </c>
      <c r="H7" s="171">
        <v>0</v>
      </c>
      <c r="I7" s="171">
        <v>183276</v>
      </c>
      <c r="J7" s="172">
        <v>0</v>
      </c>
      <c r="K7" s="172">
        <f>D7*'Page d''accueil'!$F$15</f>
        <v>57273.75</v>
      </c>
      <c r="L7" s="172">
        <f>D7*('Page d''accueil'!$F$17+1)</f>
        <v>235280.56499999997</v>
      </c>
      <c r="M7" s="172">
        <f>E7*(1+'Page d''accueil'!$F$17)</f>
        <v>188224.45199999999</v>
      </c>
      <c r="N7" s="172">
        <f>F7*(1+'Page d''accueil'!$F$17)</f>
        <v>188224.45199999999</v>
      </c>
      <c r="O7" s="172"/>
      <c r="P7" s="172">
        <v>235280.56499999997</v>
      </c>
      <c r="Q7" s="172">
        <f>G7*(1+'Page d''accueil'!$F$17)</f>
        <v>188224.45199999999</v>
      </c>
      <c r="R7" s="172">
        <f>H7*(1+'Page d''accueil'!$F$17)</f>
        <v>0</v>
      </c>
      <c r="S7" s="172">
        <f>I7*(1+'Page d''accueil'!$F$17)</f>
        <v>188224.45199999999</v>
      </c>
      <c r="T7" s="172">
        <f>L7*'Page d''accueil'!$F$14</f>
        <v>37644.890399999997</v>
      </c>
      <c r="U7" s="172">
        <f>L7*'Page d''accueil'!$F$15</f>
        <v>58820.141249999993</v>
      </c>
      <c r="V7" s="172">
        <f>L7*('Page d''accueil'!$F$17+1)</f>
        <v>241633.14025499995</v>
      </c>
      <c r="W7" s="172">
        <f>M7*(1+'Page d''accueil'!$F$17)</f>
        <v>193306.51220399997</v>
      </c>
      <c r="X7" s="172">
        <f>N7*(1+'Page d''accueil'!$F$17)</f>
        <v>193306.51220399997</v>
      </c>
      <c r="Y7" s="172">
        <f>Q7*(1+'Page d''accueil'!$F$17)</f>
        <v>193306.51220399997</v>
      </c>
      <c r="Z7" s="172"/>
      <c r="AA7" s="172">
        <v>241633.14025499995</v>
      </c>
      <c r="AB7" s="172">
        <f>R7*(1+'Page d''accueil'!$F$17)</f>
        <v>0</v>
      </c>
      <c r="AC7" s="172">
        <f>S7*(1+'Page d''accueil'!$F$17)</f>
        <v>193306.51220399997</v>
      </c>
      <c r="AD7" s="172">
        <f>V7*'Page d''accueil'!$F$14</f>
        <v>38661.302440799991</v>
      </c>
      <c r="AE7" s="172">
        <f>V7*'Page d''accueil'!$F$15</f>
        <v>60408.285063749987</v>
      </c>
      <c r="AF7" s="172">
        <f>V7*('Page d''accueil'!$F$17+1)</f>
        <v>248157.23504188494</v>
      </c>
      <c r="AG7" s="172">
        <f>W7*(1+'Page d''accueil'!$F$17)</f>
        <v>198525.78803350794</v>
      </c>
      <c r="AH7" s="172">
        <f>X7*(1+'Page d''accueil'!$F$17)</f>
        <v>198525.78803350794</v>
      </c>
      <c r="AI7" s="172">
        <f>Y7*(1+'Page d''accueil'!$F$17)</f>
        <v>198525.78803350794</v>
      </c>
      <c r="AJ7" s="172"/>
      <c r="AK7" s="172">
        <f>AA7*('Page d''accueil'!$F$17+1)</f>
        <v>248157.23504188494</v>
      </c>
      <c r="AL7" s="172">
        <f>AB7*(1+'Page d''accueil'!$F$17)</f>
        <v>0</v>
      </c>
      <c r="AM7" s="172">
        <f>AC7*(1+'Page d''accueil'!$F$17)</f>
        <v>198525.78803350794</v>
      </c>
      <c r="AN7" s="172">
        <f>AF7*'Page d''accueil'!$F$14</f>
        <v>39705.157606701592</v>
      </c>
      <c r="AO7" s="172">
        <f>AF7*'Page d''accueil'!$F$15</f>
        <v>62039.308760471235</v>
      </c>
      <c r="AP7" s="172">
        <f>AF7*('Page d''accueil'!$F$17+1)</f>
        <v>254857.4803880158</v>
      </c>
      <c r="AQ7" s="172">
        <f>AG7*(1+'Page d''accueil'!$F$17)</f>
        <v>203885.98431041263</v>
      </c>
      <c r="AR7" s="172">
        <f>AH7*(1+'Page d''accueil'!$F$17)</f>
        <v>203885.98431041263</v>
      </c>
      <c r="AS7" s="172">
        <f>AI7*(1+'Page d''accueil'!$F$17)</f>
        <v>203885.98431041263</v>
      </c>
      <c r="AT7" s="172"/>
      <c r="AU7" s="172">
        <f>AK7*('Page d''accueil'!$F$17+1)</f>
        <v>254857.4803880158</v>
      </c>
      <c r="AV7" s="172">
        <f>AL7*(1+'Page d''accueil'!$F$17)</f>
        <v>0</v>
      </c>
      <c r="AW7" s="172">
        <f>AM7*(1+'Page d''accueil'!$F$17)</f>
        <v>203885.98431041263</v>
      </c>
      <c r="AX7" s="172">
        <f>AP7*'Page d''accueil'!$F$14</f>
        <v>40777.196862082528</v>
      </c>
      <c r="AY7" s="172">
        <f>AP7*'Page d''accueil'!$F$15</f>
        <v>63714.37009700395</v>
      </c>
    </row>
    <row r="8" spans="1:51" s="5" customFormat="1" ht="12" customHeight="1">
      <c r="A8" s="169">
        <v>5</v>
      </c>
      <c r="B8" s="170" t="s">
        <v>269</v>
      </c>
      <c r="C8" s="170" t="s">
        <v>274</v>
      </c>
      <c r="D8" s="171">
        <v>151675</v>
      </c>
      <c r="E8" s="171">
        <v>121340</v>
      </c>
      <c r="F8" s="171">
        <v>121340</v>
      </c>
      <c r="G8" s="171">
        <v>121340</v>
      </c>
      <c r="H8" s="171">
        <v>0</v>
      </c>
      <c r="I8" s="171">
        <v>37918.75</v>
      </c>
      <c r="J8" s="172">
        <v>0</v>
      </c>
      <c r="K8" s="172">
        <f>D8*'Page d''accueil'!$F$15</f>
        <v>37918.75</v>
      </c>
      <c r="L8" s="172">
        <f>D8*('Page d''accueil'!$F$17+1)</f>
        <v>155770.22499999998</v>
      </c>
      <c r="M8" s="172">
        <f>E8*(1+'Page d''accueil'!$F$17)</f>
        <v>124616.18</v>
      </c>
      <c r="N8" s="172">
        <f>F8*(1+'Page d''accueil'!$F$17)</f>
        <v>124616.18</v>
      </c>
      <c r="O8" s="172"/>
      <c r="P8" s="172">
        <v>155770.22499999998</v>
      </c>
      <c r="Q8" s="172">
        <f>G8*(1+'Page d''accueil'!$F$17)</f>
        <v>124616.18</v>
      </c>
      <c r="R8" s="172">
        <f>H8*(1+'Page d''accueil'!$F$17)</f>
        <v>0</v>
      </c>
      <c r="S8" s="172">
        <f>I8*(1+'Page d''accueil'!$F$17)</f>
        <v>38942.556249999994</v>
      </c>
      <c r="T8" s="172">
        <f>L8*'Page d''accueil'!$F$14</f>
        <v>24923.235999999997</v>
      </c>
      <c r="U8" s="172">
        <f>L8*'Page d''accueil'!$F$15</f>
        <v>38942.556249999994</v>
      </c>
      <c r="V8" s="172">
        <f>L8*('Page d''accueil'!$F$17+1)</f>
        <v>159976.02107499997</v>
      </c>
      <c r="W8" s="172">
        <f>M8*(1+'Page d''accueil'!$F$17)</f>
        <v>127980.81685999998</v>
      </c>
      <c r="X8" s="172">
        <f>N8*(1+'Page d''accueil'!$F$17)</f>
        <v>127980.81685999998</v>
      </c>
      <c r="Y8" s="172">
        <f>Q8*(1+'Page d''accueil'!$F$17)</f>
        <v>127980.81685999998</v>
      </c>
      <c r="Z8" s="172"/>
      <c r="AA8" s="172">
        <v>159976.02107499997</v>
      </c>
      <c r="AB8" s="172">
        <f>R8*(1+'Page d''accueil'!$F$17)</f>
        <v>0</v>
      </c>
      <c r="AC8" s="172">
        <f>S8*(1+'Page d''accueil'!$F$17)</f>
        <v>39994.005268749992</v>
      </c>
      <c r="AD8" s="172">
        <f>V8*'Page d''accueil'!$F$14</f>
        <v>25596.163371999995</v>
      </c>
      <c r="AE8" s="172">
        <f>V8*'Page d''accueil'!$F$15</f>
        <v>39994.005268749992</v>
      </c>
      <c r="AF8" s="172">
        <f>V8*('Page d''accueil'!$F$17+1)</f>
        <v>164295.37364402495</v>
      </c>
      <c r="AG8" s="172">
        <f>W8*(1+'Page d''accueil'!$F$17)</f>
        <v>131436.29891521996</v>
      </c>
      <c r="AH8" s="172">
        <f>X8*(1+'Page d''accueil'!$F$17)</f>
        <v>131436.29891521996</v>
      </c>
      <c r="AI8" s="172">
        <f>Y8*(1+'Page d''accueil'!$F$17)</f>
        <v>131436.29891521996</v>
      </c>
      <c r="AJ8" s="172"/>
      <c r="AK8" s="172">
        <f>AA8*('Page d''accueil'!$F$17+1)</f>
        <v>164295.37364402495</v>
      </c>
      <c r="AL8" s="172">
        <f>AB8*(1+'Page d''accueil'!$F$17)</f>
        <v>0</v>
      </c>
      <c r="AM8" s="172">
        <f>AC8*(1+'Page d''accueil'!$F$17)</f>
        <v>41073.843411006237</v>
      </c>
      <c r="AN8" s="172">
        <f>AF8*'Page d''accueil'!$F$14</f>
        <v>26287.259783043992</v>
      </c>
      <c r="AO8" s="172">
        <f>AF8*'Page d''accueil'!$F$15</f>
        <v>41073.843411006237</v>
      </c>
      <c r="AP8" s="172">
        <f>AF8*('Page d''accueil'!$F$17+1)</f>
        <v>168731.34873241361</v>
      </c>
      <c r="AQ8" s="172">
        <f>AG8*(1+'Page d''accueil'!$F$17)</f>
        <v>134985.07898593089</v>
      </c>
      <c r="AR8" s="172">
        <f>AH8*(1+'Page d''accueil'!$F$17)</f>
        <v>134985.07898593089</v>
      </c>
      <c r="AS8" s="172">
        <f>AI8*(1+'Page d''accueil'!$F$17)</f>
        <v>134985.07898593089</v>
      </c>
      <c r="AT8" s="172"/>
      <c r="AU8" s="172">
        <f>AK8*('Page d''accueil'!$F$17+1)</f>
        <v>168731.34873241361</v>
      </c>
      <c r="AV8" s="172">
        <f>AL8*(1+'Page d''accueil'!$F$17)</f>
        <v>0</v>
      </c>
      <c r="AW8" s="172">
        <f>AM8*(1+'Page d''accueil'!$F$17)</f>
        <v>42182.837183103402</v>
      </c>
      <c r="AX8" s="172">
        <f>AP8*'Page d''accueil'!$F$14</f>
        <v>26997.015797186177</v>
      </c>
      <c r="AY8" s="172">
        <f>AP8*'Page d''accueil'!$F$15</f>
        <v>42182.837183103402</v>
      </c>
    </row>
    <row r="9" spans="1:51" s="5" customFormat="1" ht="12" customHeight="1">
      <c r="A9" s="169">
        <v>6</v>
      </c>
      <c r="B9" s="170" t="s">
        <v>275</v>
      </c>
      <c r="C9" s="170" t="s">
        <v>276</v>
      </c>
      <c r="D9" s="171">
        <v>154927</v>
      </c>
      <c r="E9" s="171">
        <v>0</v>
      </c>
      <c r="F9" s="171">
        <v>0</v>
      </c>
      <c r="G9" s="171">
        <v>0</v>
      </c>
      <c r="H9" s="171">
        <v>0</v>
      </c>
      <c r="I9" s="171">
        <v>0</v>
      </c>
      <c r="J9" s="172">
        <v>0</v>
      </c>
      <c r="K9" s="172">
        <f>D9*'Page d''accueil'!$F$15</f>
        <v>38731.75</v>
      </c>
      <c r="L9" s="172">
        <f>D9*('Page d''accueil'!$F$17+1)</f>
        <v>159110.02899999998</v>
      </c>
      <c r="M9" s="172">
        <f>E9*(1+'Page d''accueil'!$F$17)</f>
        <v>0</v>
      </c>
      <c r="N9" s="172">
        <f>F9*(1+'Page d''accueil'!$F$17)</f>
        <v>0</v>
      </c>
      <c r="O9" s="172">
        <f>P9/10</f>
        <v>15911.002899999998</v>
      </c>
      <c r="P9" s="172">
        <v>159110.02899999998</v>
      </c>
      <c r="Q9" s="172">
        <f>G9*(1+'Page d''accueil'!$F$17)</f>
        <v>0</v>
      </c>
      <c r="R9" s="172">
        <f>H9*(1+'Page d''accueil'!$F$17)</f>
        <v>0</v>
      </c>
      <c r="S9" s="172">
        <f>I9*(1+'Page d''accueil'!$F$17)</f>
        <v>0</v>
      </c>
      <c r="T9" s="172">
        <f>L9*'Page d''accueil'!$F$14</f>
        <v>25457.604639999998</v>
      </c>
      <c r="U9" s="172">
        <f>L9*'Page d''accueil'!$F$15</f>
        <v>39777.507249999995</v>
      </c>
      <c r="V9" s="172">
        <f>L9*('Page d''accueil'!$F$17+1)</f>
        <v>163405.99978299998</v>
      </c>
      <c r="W9" s="172">
        <f>M9*(1+'Page d''accueil'!$F$17)</f>
        <v>0</v>
      </c>
      <c r="X9" s="172">
        <f>N9*(1+'Page d''accueil'!$F$17)</f>
        <v>0</v>
      </c>
      <c r="Y9" s="172">
        <f>Q9*(1+'Page d''accueil'!$F$17)</f>
        <v>0</v>
      </c>
      <c r="Z9" s="172">
        <f>AA9/10</f>
        <v>16340.599978299997</v>
      </c>
      <c r="AA9" s="172">
        <v>163405.99978299998</v>
      </c>
      <c r="AB9" s="172">
        <f>R9*(1+'Page d''accueil'!$F$17)</f>
        <v>0</v>
      </c>
      <c r="AC9" s="172">
        <f>S9*(1+'Page d''accueil'!$F$17)</f>
        <v>0</v>
      </c>
      <c r="AD9" s="172">
        <f>V9*'Page d''accueil'!$F$14</f>
        <v>26144.959965279995</v>
      </c>
      <c r="AE9" s="172">
        <f>V9*'Page d''accueil'!$F$15</f>
        <v>40851.499945749994</v>
      </c>
      <c r="AF9" s="172">
        <f>V9*('Page d''accueil'!$F$17+1)</f>
        <v>167817.96177714097</v>
      </c>
      <c r="AG9" s="172">
        <f>W9*(1+'Page d''accueil'!$F$17)</f>
        <v>0</v>
      </c>
      <c r="AH9" s="172">
        <f>X9*(1+'Page d''accueil'!$F$17)</f>
        <v>0</v>
      </c>
      <c r="AI9" s="172">
        <f>Y9*(1+'Page d''accueil'!$F$17)</f>
        <v>0</v>
      </c>
      <c r="AJ9" s="172">
        <f>AK9/10</f>
        <v>16781.796177714095</v>
      </c>
      <c r="AK9" s="172">
        <f>AA9*('Page d''accueil'!$F$17+1)</f>
        <v>167817.96177714097</v>
      </c>
      <c r="AL9" s="172">
        <f>AB9*(1+'Page d''accueil'!$F$17)</f>
        <v>0</v>
      </c>
      <c r="AM9" s="172">
        <f>AC9*(1+'Page d''accueil'!$F$17)</f>
        <v>0</v>
      </c>
      <c r="AN9" s="172">
        <f>AF9*'Page d''accueil'!$F$14</f>
        <v>26850.873884342556</v>
      </c>
      <c r="AO9" s="172">
        <f>AF9*'Page d''accueil'!$F$15</f>
        <v>41954.490444285242</v>
      </c>
      <c r="AP9" s="172">
        <f>AF9*('Page d''accueil'!$F$17+1)</f>
        <v>172349.04674512375</v>
      </c>
      <c r="AQ9" s="172">
        <f>AG9*(1+'Page d''accueil'!$F$17)</f>
        <v>0</v>
      </c>
      <c r="AR9" s="172">
        <f>AH9*(1+'Page d''accueil'!$F$17)</f>
        <v>0</v>
      </c>
      <c r="AS9" s="172">
        <f>AI9*(1+'Page d''accueil'!$F$17)</f>
        <v>0</v>
      </c>
      <c r="AT9" s="172">
        <f>AU9/10</f>
        <v>17234.904674512374</v>
      </c>
      <c r="AU9" s="172">
        <f>AK9*('Page d''accueil'!$F$17+1)</f>
        <v>172349.04674512375</v>
      </c>
      <c r="AV9" s="172">
        <f>AL9*(1+'Page d''accueil'!$F$17)</f>
        <v>0</v>
      </c>
      <c r="AW9" s="172">
        <f>AM9*(1+'Page d''accueil'!$F$17)</f>
        <v>0</v>
      </c>
      <c r="AX9" s="172">
        <f>AP9*'Page d''accueil'!$F$14</f>
        <v>27575.847479219799</v>
      </c>
      <c r="AY9" s="172">
        <f>AP9*'Page d''accueil'!$F$15</f>
        <v>43087.261686280937</v>
      </c>
    </row>
    <row r="10" spans="1:51" s="5" customFormat="1" ht="12" customHeight="1">
      <c r="A10" s="169">
        <v>7</v>
      </c>
      <c r="B10" s="170" t="s">
        <v>275</v>
      </c>
      <c r="C10" s="170" t="s">
        <v>277</v>
      </c>
      <c r="D10" s="171">
        <v>71275</v>
      </c>
      <c r="E10" s="171">
        <v>0</v>
      </c>
      <c r="F10" s="171">
        <v>0</v>
      </c>
      <c r="G10" s="171">
        <v>0</v>
      </c>
      <c r="H10" s="171">
        <v>0</v>
      </c>
      <c r="I10" s="171">
        <v>0</v>
      </c>
      <c r="J10" s="172">
        <v>0</v>
      </c>
      <c r="K10" s="172">
        <f>D10*'Page d''accueil'!$F$15</f>
        <v>17818.75</v>
      </c>
      <c r="L10" s="172">
        <f>D10*('Page d''accueil'!$F$17+1)</f>
        <v>73199.424999999988</v>
      </c>
      <c r="M10" s="172">
        <f>E10*(1+'Page d''accueil'!$F$17)</f>
        <v>0</v>
      </c>
      <c r="N10" s="172">
        <f>F10*(1+'Page d''accueil'!$F$17)</f>
        <v>0</v>
      </c>
      <c r="O10" s="172">
        <f t="shared" ref="O10:O13" si="1">P10/10</f>
        <v>7319.9424999999992</v>
      </c>
      <c r="P10" s="172">
        <v>73199.424999999988</v>
      </c>
      <c r="Q10" s="172">
        <f>G10*(1+'Page d''accueil'!$F$17)</f>
        <v>0</v>
      </c>
      <c r="R10" s="172">
        <f>H10*(1+'Page d''accueil'!$F$17)</f>
        <v>0</v>
      </c>
      <c r="S10" s="172">
        <f>I10*(1+'Page d''accueil'!$F$17)</f>
        <v>0</v>
      </c>
      <c r="T10" s="172">
        <f>L10*'Page d''accueil'!$F$14</f>
        <v>11711.907999999998</v>
      </c>
      <c r="U10" s="172">
        <f>L10*'Page d''accueil'!$F$15</f>
        <v>18299.856249999997</v>
      </c>
      <c r="V10" s="172">
        <f>L10*('Page d''accueil'!$F$17+1)</f>
        <v>75175.809474999987</v>
      </c>
      <c r="W10" s="172">
        <f>M10*(1+'Page d''accueil'!$F$17)</f>
        <v>0</v>
      </c>
      <c r="X10" s="172">
        <f>N10*(1+'Page d''accueil'!$F$17)</f>
        <v>0</v>
      </c>
      <c r="Y10" s="172">
        <f>Q10*(1+'Page d''accueil'!$F$17)</f>
        <v>0</v>
      </c>
      <c r="Z10" s="172">
        <f t="shared" ref="Z10:Z13" si="2">AA10/10</f>
        <v>7517.5809474999987</v>
      </c>
      <c r="AA10" s="172">
        <v>75175.809474999987</v>
      </c>
      <c r="AB10" s="172">
        <f>R10*(1+'Page d''accueil'!$F$17)</f>
        <v>0</v>
      </c>
      <c r="AC10" s="172">
        <f>S10*(1+'Page d''accueil'!$F$17)</f>
        <v>0</v>
      </c>
      <c r="AD10" s="172">
        <f>V10*'Page d''accueil'!$F$14</f>
        <v>12028.129515999999</v>
      </c>
      <c r="AE10" s="172">
        <f>V10*'Page d''accueil'!$F$15</f>
        <v>18793.952368749997</v>
      </c>
      <c r="AF10" s="172">
        <f>V10*('Page d''accueil'!$F$17+1)</f>
        <v>77205.556330824984</v>
      </c>
      <c r="AG10" s="172">
        <f>W10*(1+'Page d''accueil'!$F$17)</f>
        <v>0</v>
      </c>
      <c r="AH10" s="172">
        <f>X10*(1+'Page d''accueil'!$F$17)</f>
        <v>0</v>
      </c>
      <c r="AI10" s="172">
        <f>Y10*(1+'Page d''accueil'!$F$17)</f>
        <v>0</v>
      </c>
      <c r="AJ10" s="172">
        <f t="shared" ref="AJ10:AJ13" si="3">AK10/10</f>
        <v>7720.5556330824984</v>
      </c>
      <c r="AK10" s="172">
        <f>AA10*('Page d''accueil'!$F$17+1)</f>
        <v>77205.556330824984</v>
      </c>
      <c r="AL10" s="172">
        <f>AB10*(1+'Page d''accueil'!$F$17)</f>
        <v>0</v>
      </c>
      <c r="AM10" s="172">
        <f>AC10*(1+'Page d''accueil'!$F$17)</f>
        <v>0</v>
      </c>
      <c r="AN10" s="172">
        <f>AF10*'Page d''accueil'!$F$14</f>
        <v>12352.889012931997</v>
      </c>
      <c r="AO10" s="172">
        <f>AF10*'Page d''accueil'!$F$15</f>
        <v>19301.389082706246</v>
      </c>
      <c r="AP10" s="172">
        <f>AF10*('Page d''accueil'!$F$17+1)</f>
        <v>79290.106351757247</v>
      </c>
      <c r="AQ10" s="172">
        <f>AG10*(1+'Page d''accueil'!$F$17)</f>
        <v>0</v>
      </c>
      <c r="AR10" s="172">
        <f>AH10*(1+'Page d''accueil'!$F$17)</f>
        <v>0</v>
      </c>
      <c r="AS10" s="172">
        <f>AI10*(1+'Page d''accueil'!$F$17)</f>
        <v>0</v>
      </c>
      <c r="AT10" s="172">
        <f t="shared" ref="AT10:AT13" si="4">AU10/10</f>
        <v>7929.0106351757249</v>
      </c>
      <c r="AU10" s="172">
        <f>AK10*('Page d''accueil'!$F$17+1)</f>
        <v>79290.106351757247</v>
      </c>
      <c r="AV10" s="172">
        <f>AL10*(1+'Page d''accueil'!$F$17)</f>
        <v>0</v>
      </c>
      <c r="AW10" s="172">
        <f>AM10*(1+'Page d''accueil'!$F$17)</f>
        <v>0</v>
      </c>
      <c r="AX10" s="172">
        <f>AP10*'Page d''accueil'!$F$14</f>
        <v>12686.417016281161</v>
      </c>
      <c r="AY10" s="172">
        <f>AP10*'Page d''accueil'!$F$15</f>
        <v>19822.526587939312</v>
      </c>
    </row>
    <row r="11" spans="1:51" s="5" customFormat="1" ht="12" customHeight="1">
      <c r="A11" s="169">
        <v>8</v>
      </c>
      <c r="B11" s="170" t="s">
        <v>275</v>
      </c>
      <c r="C11" s="170" t="s">
        <v>278</v>
      </c>
      <c r="D11" s="171">
        <v>163481</v>
      </c>
      <c r="E11" s="171">
        <v>0</v>
      </c>
      <c r="F11" s="171">
        <v>0</v>
      </c>
      <c r="G11" s="171">
        <v>0</v>
      </c>
      <c r="H11" s="171">
        <v>0</v>
      </c>
      <c r="I11" s="171">
        <v>0</v>
      </c>
      <c r="J11" s="172">
        <v>0</v>
      </c>
      <c r="K11" s="172">
        <f>D11*'Page d''accueil'!$F$15</f>
        <v>40870.25</v>
      </c>
      <c r="L11" s="172">
        <f>D11*('Page d''accueil'!$F$17+1)</f>
        <v>167894.98699999999</v>
      </c>
      <c r="M11" s="172">
        <f>E11*(1+'Page d''accueil'!$F$17)</f>
        <v>0</v>
      </c>
      <c r="N11" s="172">
        <f>F11*(1+'Page d''accueil'!$F$17)</f>
        <v>0</v>
      </c>
      <c r="O11" s="172">
        <f t="shared" si="1"/>
        <v>16789.4987</v>
      </c>
      <c r="P11" s="172">
        <v>167894.98699999999</v>
      </c>
      <c r="Q11" s="172">
        <f>G11*(1+'Page d''accueil'!$F$17)</f>
        <v>0</v>
      </c>
      <c r="R11" s="172">
        <f>H11*(1+'Page d''accueil'!$F$17)</f>
        <v>0</v>
      </c>
      <c r="S11" s="172">
        <f>I11*(1+'Page d''accueil'!$F$17)</f>
        <v>0</v>
      </c>
      <c r="T11" s="172">
        <f>L11*'Page d''accueil'!$F$14</f>
        <v>26863.197919999999</v>
      </c>
      <c r="U11" s="172">
        <f>L11*'Page d''accueil'!$F$15</f>
        <v>41973.746749999998</v>
      </c>
      <c r="V11" s="172">
        <f>L11*('Page d''accueil'!$F$17+1)</f>
        <v>172428.15164899998</v>
      </c>
      <c r="W11" s="172">
        <f>M11*(1+'Page d''accueil'!$F$17)</f>
        <v>0</v>
      </c>
      <c r="X11" s="172">
        <f>N11*(1+'Page d''accueil'!$F$17)</f>
        <v>0</v>
      </c>
      <c r="Y11" s="172">
        <f>Q11*(1+'Page d''accueil'!$F$17)</f>
        <v>0</v>
      </c>
      <c r="Z11" s="172">
        <f t="shared" si="2"/>
        <v>17242.815164899999</v>
      </c>
      <c r="AA11" s="172">
        <v>172428.15164899998</v>
      </c>
      <c r="AB11" s="172">
        <f>R11*(1+'Page d''accueil'!$F$17)</f>
        <v>0</v>
      </c>
      <c r="AC11" s="172">
        <f>S11*(1+'Page d''accueil'!$F$17)</f>
        <v>0</v>
      </c>
      <c r="AD11" s="172">
        <f>V11*'Page d''accueil'!$F$14</f>
        <v>27588.504263839997</v>
      </c>
      <c r="AE11" s="172">
        <f>V11*'Page d''accueil'!$F$15</f>
        <v>43107.037912249994</v>
      </c>
      <c r="AF11" s="172">
        <f>V11*('Page d''accueil'!$F$17+1)</f>
        <v>177083.71174352296</v>
      </c>
      <c r="AG11" s="172">
        <f>W11*(1+'Page d''accueil'!$F$17)</f>
        <v>0</v>
      </c>
      <c r="AH11" s="172">
        <f>X11*(1+'Page d''accueil'!$F$17)</f>
        <v>0</v>
      </c>
      <c r="AI11" s="172">
        <f>Y11*(1+'Page d''accueil'!$F$17)</f>
        <v>0</v>
      </c>
      <c r="AJ11" s="172">
        <f t="shared" si="3"/>
        <v>17708.371174352294</v>
      </c>
      <c r="AK11" s="172">
        <f>AA11*('Page d''accueil'!$F$17+1)</f>
        <v>177083.71174352296</v>
      </c>
      <c r="AL11" s="172">
        <f>AB11*(1+'Page d''accueil'!$F$17)</f>
        <v>0</v>
      </c>
      <c r="AM11" s="172">
        <f>AC11*(1+'Page d''accueil'!$F$17)</f>
        <v>0</v>
      </c>
      <c r="AN11" s="172">
        <f>AF11*'Page d''accueil'!$F$14</f>
        <v>28333.393878963674</v>
      </c>
      <c r="AO11" s="172">
        <f>AF11*'Page d''accueil'!$F$15</f>
        <v>44270.92793588074</v>
      </c>
      <c r="AP11" s="172">
        <f>AF11*('Page d''accueil'!$F$17+1)</f>
        <v>181864.97196059805</v>
      </c>
      <c r="AQ11" s="172">
        <f>AG11*(1+'Page d''accueil'!$F$17)</f>
        <v>0</v>
      </c>
      <c r="AR11" s="172">
        <f>AH11*(1+'Page d''accueil'!$F$17)</f>
        <v>0</v>
      </c>
      <c r="AS11" s="172">
        <f>AI11*(1+'Page d''accueil'!$F$17)</f>
        <v>0</v>
      </c>
      <c r="AT11" s="172">
        <f t="shared" si="4"/>
        <v>18186.497196059805</v>
      </c>
      <c r="AU11" s="172">
        <f>AK11*('Page d''accueil'!$F$17+1)</f>
        <v>181864.97196059805</v>
      </c>
      <c r="AV11" s="172">
        <f>AL11*(1+'Page d''accueil'!$F$17)</f>
        <v>0</v>
      </c>
      <c r="AW11" s="172">
        <f>AM11*(1+'Page d''accueil'!$F$17)</f>
        <v>0</v>
      </c>
      <c r="AX11" s="172">
        <f>AP11*'Page d''accueil'!$F$14</f>
        <v>29098.39551369569</v>
      </c>
      <c r="AY11" s="172">
        <f>AP11*'Page d''accueil'!$F$15</f>
        <v>45466.242990149512</v>
      </c>
    </row>
    <row r="12" spans="1:51" s="5" customFormat="1" ht="12" customHeight="1">
      <c r="A12" s="169">
        <v>9</v>
      </c>
      <c r="B12" s="170" t="s">
        <v>275</v>
      </c>
      <c r="C12" s="170" t="s">
        <v>279</v>
      </c>
      <c r="D12" s="171">
        <v>759927</v>
      </c>
      <c r="E12" s="171">
        <v>0</v>
      </c>
      <c r="F12" s="171">
        <v>0</v>
      </c>
      <c r="G12" s="171">
        <v>0</v>
      </c>
      <c r="H12" s="171">
        <v>0</v>
      </c>
      <c r="I12" s="171">
        <v>189981.75</v>
      </c>
      <c r="J12" s="172">
        <v>0</v>
      </c>
      <c r="K12" s="172">
        <f>D12*'Page d''accueil'!$F$15</f>
        <v>189981.75</v>
      </c>
      <c r="L12" s="172">
        <f>D12*('Page d''accueil'!$F$17+1)</f>
        <v>780445.02899999998</v>
      </c>
      <c r="M12" s="172">
        <f>E12*(1+'Page d''accueil'!$F$17)</f>
        <v>0</v>
      </c>
      <c r="N12" s="172">
        <f>F12*(1+'Page d''accueil'!$F$17)</f>
        <v>0</v>
      </c>
      <c r="O12" s="172">
        <f t="shared" si="1"/>
        <v>78044.502899999992</v>
      </c>
      <c r="P12" s="172">
        <v>780445.02899999998</v>
      </c>
      <c r="Q12" s="172">
        <f>G12*(1+'Page d''accueil'!$F$17)</f>
        <v>0</v>
      </c>
      <c r="R12" s="172">
        <f>H12*(1+'Page d''accueil'!$F$17)</f>
        <v>0</v>
      </c>
      <c r="S12" s="172">
        <f>I12*(1+'Page d''accueil'!$F$17)</f>
        <v>195111.25725</v>
      </c>
      <c r="T12" s="172">
        <f>L12*'Page d''accueil'!$F$14</f>
        <v>124871.20464</v>
      </c>
      <c r="U12" s="172">
        <f>L12*'Page d''accueil'!$F$15</f>
        <v>195111.25725</v>
      </c>
      <c r="V12" s="172">
        <f>L12*('Page d''accueil'!$F$17+1)</f>
        <v>801517.0447829999</v>
      </c>
      <c r="W12" s="172">
        <f>M12*(1+'Page d''accueil'!$F$17)</f>
        <v>0</v>
      </c>
      <c r="X12" s="172">
        <f>N12*(1+'Page d''accueil'!$F$17)</f>
        <v>0</v>
      </c>
      <c r="Y12" s="172">
        <f>Q12*(1+'Page d''accueil'!$F$17)</f>
        <v>0</v>
      </c>
      <c r="Z12" s="172">
        <f t="shared" si="2"/>
        <v>80151.704478299987</v>
      </c>
      <c r="AA12" s="172">
        <v>801517.0447829999</v>
      </c>
      <c r="AB12" s="172">
        <f>R12*(1+'Page d''accueil'!$F$17)</f>
        <v>0</v>
      </c>
      <c r="AC12" s="172">
        <f>S12*(1+'Page d''accueil'!$F$17)</f>
        <v>200379.26119574998</v>
      </c>
      <c r="AD12" s="172">
        <f>V12*'Page d''accueil'!$F$14</f>
        <v>128242.72716527998</v>
      </c>
      <c r="AE12" s="172">
        <f>V12*'Page d''accueil'!$F$15</f>
        <v>200379.26119574998</v>
      </c>
      <c r="AF12" s="172">
        <f>V12*('Page d''accueil'!$F$17+1)</f>
        <v>823158.00499214081</v>
      </c>
      <c r="AG12" s="172">
        <f>W12*(1+'Page d''accueil'!$F$17)</f>
        <v>0</v>
      </c>
      <c r="AH12" s="172">
        <f>X12*(1+'Page d''accueil'!$F$17)</f>
        <v>0</v>
      </c>
      <c r="AI12" s="172">
        <f>Y12*(1+'Page d''accueil'!$F$17)</f>
        <v>0</v>
      </c>
      <c r="AJ12" s="172">
        <f t="shared" si="3"/>
        <v>82315.800499214078</v>
      </c>
      <c r="AK12" s="172">
        <f>AA12*('Page d''accueil'!$F$17+1)</f>
        <v>823158.00499214081</v>
      </c>
      <c r="AL12" s="172">
        <f>AB12*(1+'Page d''accueil'!$F$17)</f>
        <v>0</v>
      </c>
      <c r="AM12" s="172">
        <f>AC12*(1+'Page d''accueil'!$F$17)</f>
        <v>205789.5012480352</v>
      </c>
      <c r="AN12" s="172">
        <f>AF12*'Page d''accueil'!$F$14</f>
        <v>131705.28079874252</v>
      </c>
      <c r="AO12" s="172">
        <f>AF12*'Page d''accueil'!$F$15</f>
        <v>205789.5012480352</v>
      </c>
      <c r="AP12" s="172">
        <f>AF12*('Page d''accueil'!$F$17+1)</f>
        <v>845383.27112692851</v>
      </c>
      <c r="AQ12" s="172">
        <f>AG12*(1+'Page d''accueil'!$F$17)</f>
        <v>0</v>
      </c>
      <c r="AR12" s="172">
        <f>AH12*(1+'Page d''accueil'!$F$17)</f>
        <v>0</v>
      </c>
      <c r="AS12" s="172">
        <f>AI12*(1+'Page d''accueil'!$F$17)</f>
        <v>0</v>
      </c>
      <c r="AT12" s="172">
        <f t="shared" si="4"/>
        <v>84538.327112692845</v>
      </c>
      <c r="AU12" s="172">
        <f>AK12*('Page d''accueil'!$F$17+1)</f>
        <v>845383.27112692851</v>
      </c>
      <c r="AV12" s="172">
        <f>AL12*(1+'Page d''accueil'!$F$17)</f>
        <v>0</v>
      </c>
      <c r="AW12" s="172">
        <f>AM12*(1+'Page d''accueil'!$F$17)</f>
        <v>211345.81778173213</v>
      </c>
      <c r="AX12" s="172">
        <f>AP12*'Page d''accueil'!$F$14</f>
        <v>135261.32338030857</v>
      </c>
      <c r="AY12" s="172">
        <f>AP12*'Page d''accueil'!$F$15</f>
        <v>211345.81778173213</v>
      </c>
    </row>
    <row r="13" spans="1:51" s="5" customFormat="1" ht="12" customHeight="1">
      <c r="A13" s="169">
        <v>10</v>
      </c>
      <c r="B13" s="170" t="s">
        <v>275</v>
      </c>
      <c r="C13" s="170" t="s">
        <v>280</v>
      </c>
      <c r="D13" s="171">
        <v>744519</v>
      </c>
      <c r="E13" s="171">
        <v>0</v>
      </c>
      <c r="F13" s="171">
        <v>0</v>
      </c>
      <c r="G13" s="171">
        <v>0</v>
      </c>
      <c r="H13" s="171">
        <v>0</v>
      </c>
      <c r="I13" s="171">
        <v>186129.75</v>
      </c>
      <c r="J13" s="172">
        <v>0</v>
      </c>
      <c r="K13" s="172">
        <f>D13*'Page d''accueil'!$F$15</f>
        <v>186129.75</v>
      </c>
      <c r="L13" s="172">
        <f>D13*('Page d''accueil'!$F$17+1)</f>
        <v>764621.01299999992</v>
      </c>
      <c r="M13" s="172">
        <f>E13*(1+'Page d''accueil'!$F$17)</f>
        <v>0</v>
      </c>
      <c r="N13" s="172">
        <f>F13*(1+'Page d''accueil'!$F$17)</f>
        <v>0</v>
      </c>
      <c r="O13" s="172">
        <f t="shared" si="1"/>
        <v>76462.101299999995</v>
      </c>
      <c r="P13" s="172">
        <v>764621.01299999992</v>
      </c>
      <c r="Q13" s="172">
        <f>G13*(1+'Page d''accueil'!$F$17)</f>
        <v>0</v>
      </c>
      <c r="R13" s="172">
        <f>H13*(1+'Page d''accueil'!$F$17)</f>
        <v>0</v>
      </c>
      <c r="S13" s="172">
        <f>I13*(1+'Page d''accueil'!$F$17)</f>
        <v>191155.25324999998</v>
      </c>
      <c r="T13" s="172">
        <f>L13*'Page d''accueil'!$F$14</f>
        <v>122339.36207999999</v>
      </c>
      <c r="U13" s="172">
        <f>L13*'Page d''accueil'!$F$15</f>
        <v>191155.25324999998</v>
      </c>
      <c r="V13" s="172">
        <f>L13*('Page d''accueil'!$F$17+1)</f>
        <v>785265.78035099991</v>
      </c>
      <c r="W13" s="172">
        <f>M13*(1+'Page d''accueil'!$F$17)</f>
        <v>0</v>
      </c>
      <c r="X13" s="172">
        <f>N13*(1+'Page d''accueil'!$F$17)</f>
        <v>0</v>
      </c>
      <c r="Y13" s="172">
        <f>Q13*(1+'Page d''accueil'!$F$17)</f>
        <v>0</v>
      </c>
      <c r="Z13" s="172">
        <f t="shared" si="2"/>
        <v>78526.578035099985</v>
      </c>
      <c r="AA13" s="172">
        <v>785265.78035099991</v>
      </c>
      <c r="AB13" s="172">
        <f>R13*(1+'Page d''accueil'!$F$17)</f>
        <v>0</v>
      </c>
      <c r="AC13" s="172">
        <f>S13*(1+'Page d''accueil'!$F$17)</f>
        <v>196316.44508774998</v>
      </c>
      <c r="AD13" s="172">
        <f>V13*'Page d''accueil'!$F$14</f>
        <v>125642.52485615999</v>
      </c>
      <c r="AE13" s="172">
        <f>V13*'Page d''accueil'!$F$15</f>
        <v>196316.44508774998</v>
      </c>
      <c r="AF13" s="172">
        <f>V13*('Page d''accueil'!$F$17+1)</f>
        <v>806467.95642047678</v>
      </c>
      <c r="AG13" s="172">
        <f>W13*(1+'Page d''accueil'!$F$17)</f>
        <v>0</v>
      </c>
      <c r="AH13" s="172">
        <f>X13*(1+'Page d''accueil'!$F$17)</f>
        <v>0</v>
      </c>
      <c r="AI13" s="172">
        <f>Y13*(1+'Page d''accueil'!$F$17)</f>
        <v>0</v>
      </c>
      <c r="AJ13" s="172">
        <f t="shared" si="3"/>
        <v>80646.795642047684</v>
      </c>
      <c r="AK13" s="172">
        <f>AA13*('Page d''accueil'!$F$17+1)</f>
        <v>806467.95642047678</v>
      </c>
      <c r="AL13" s="172">
        <f>AB13*(1+'Page d''accueil'!$F$17)</f>
        <v>0</v>
      </c>
      <c r="AM13" s="172">
        <f>AC13*(1+'Page d''accueil'!$F$17)</f>
        <v>201616.9891051192</v>
      </c>
      <c r="AN13" s="172">
        <f>AF13*'Page d''accueil'!$F$14</f>
        <v>129034.87302727629</v>
      </c>
      <c r="AO13" s="172">
        <f>AF13*'Page d''accueil'!$F$15</f>
        <v>201616.9891051192</v>
      </c>
      <c r="AP13" s="172">
        <f>AF13*('Page d''accueil'!$F$17+1)</f>
        <v>828242.59124382958</v>
      </c>
      <c r="AQ13" s="172">
        <f>AG13*(1+'Page d''accueil'!$F$17)</f>
        <v>0</v>
      </c>
      <c r="AR13" s="172">
        <f>AH13*(1+'Page d''accueil'!$F$17)</f>
        <v>0</v>
      </c>
      <c r="AS13" s="172">
        <f>AI13*(1+'Page d''accueil'!$F$17)</f>
        <v>0</v>
      </c>
      <c r="AT13" s="172">
        <f t="shared" si="4"/>
        <v>82824.259124382952</v>
      </c>
      <c r="AU13" s="172">
        <f>AK13*('Page d''accueil'!$F$17+1)</f>
        <v>828242.59124382958</v>
      </c>
      <c r="AV13" s="172">
        <f>AL13*(1+'Page d''accueil'!$F$17)</f>
        <v>0</v>
      </c>
      <c r="AW13" s="172">
        <f>AM13*(1+'Page d''accueil'!$F$17)</f>
        <v>207060.64781095739</v>
      </c>
      <c r="AX13" s="172">
        <f>AP13*'Page d''accueil'!$F$14</f>
        <v>132518.81459901272</v>
      </c>
      <c r="AY13" s="172">
        <f>AP13*'Page d''accueil'!$F$15</f>
        <v>207060.64781095739</v>
      </c>
    </row>
    <row r="14" spans="1:51" s="5" customFormat="1" ht="12" customHeight="1">
      <c r="A14" s="169">
        <v>11</v>
      </c>
      <c r="B14" s="170" t="s">
        <v>281</v>
      </c>
      <c r="C14" s="170" t="s">
        <v>282</v>
      </c>
      <c r="D14" s="171">
        <v>207001</v>
      </c>
      <c r="E14" s="171">
        <v>165600.80000000002</v>
      </c>
      <c r="F14" s="171">
        <v>165600.80000000002</v>
      </c>
      <c r="G14" s="171">
        <v>165600.80000000002</v>
      </c>
      <c r="H14" s="171">
        <v>207001</v>
      </c>
      <c r="I14" s="171">
        <v>0</v>
      </c>
      <c r="J14" s="172">
        <v>0</v>
      </c>
      <c r="K14" s="172">
        <f>D14*'Page d''accueil'!$F$15</f>
        <v>51750.25</v>
      </c>
      <c r="L14" s="172">
        <f>D14*('Page d''accueil'!$F$17+1)</f>
        <v>212590.02699999997</v>
      </c>
      <c r="M14" s="172">
        <f>E14*(1+'Page d''accueil'!$F$17)</f>
        <v>170072.02160000001</v>
      </c>
      <c r="N14" s="172">
        <f>F14*(1+'Page d''accueil'!$F$17)</f>
        <v>170072.02160000001</v>
      </c>
      <c r="O14" s="172"/>
      <c r="P14" s="172">
        <v>212590.02699999997</v>
      </c>
      <c r="Q14" s="172">
        <f>G14*(1+'Page d''accueil'!$F$17)</f>
        <v>170072.02160000001</v>
      </c>
      <c r="R14" s="172">
        <f>H14*(1+'Page d''accueil'!$F$17)</f>
        <v>212590.02699999997</v>
      </c>
      <c r="S14" s="172">
        <f>I14*(1+'Page d''accueil'!$F$17)</f>
        <v>0</v>
      </c>
      <c r="T14" s="172">
        <f>L14*'Page d''accueil'!$F$14</f>
        <v>34014.404319999994</v>
      </c>
      <c r="U14" s="172">
        <f>L14*'Page d''accueil'!$F$15</f>
        <v>53147.506749999993</v>
      </c>
      <c r="V14" s="172">
        <f>L14*('Page d''accueil'!$F$17+1)</f>
        <v>218329.95772899996</v>
      </c>
      <c r="W14" s="172">
        <f>M14*(1+'Page d''accueil'!$F$17)</f>
        <v>174663.96618319998</v>
      </c>
      <c r="X14" s="172">
        <f>N14*(1+'Page d''accueil'!$F$17)</f>
        <v>174663.96618319998</v>
      </c>
      <c r="Y14" s="172">
        <f>Q14*(1+'Page d''accueil'!$F$17)</f>
        <v>174663.96618319998</v>
      </c>
      <c r="Z14" s="172"/>
      <c r="AA14" s="172">
        <v>218329.95772899996</v>
      </c>
      <c r="AB14" s="172">
        <f>R14*(1+'Page d''accueil'!$F$17)</f>
        <v>218329.95772899996</v>
      </c>
      <c r="AC14" s="172">
        <f>S14*(1+'Page d''accueil'!$F$17)</f>
        <v>0</v>
      </c>
      <c r="AD14" s="172">
        <f>V14*'Page d''accueil'!$F$14</f>
        <v>34932.793236639991</v>
      </c>
      <c r="AE14" s="172">
        <f>V14*'Page d''accueil'!$F$15</f>
        <v>54582.489432249989</v>
      </c>
      <c r="AF14" s="172">
        <f>V14*('Page d''accueil'!$F$17+1)</f>
        <v>224224.86658768295</v>
      </c>
      <c r="AG14" s="172">
        <f>W14*(1+'Page d''accueil'!$F$17)</f>
        <v>179379.89327014636</v>
      </c>
      <c r="AH14" s="172">
        <f>X14*(1+'Page d''accueil'!$F$17)</f>
        <v>179379.89327014636</v>
      </c>
      <c r="AI14" s="172">
        <f>Y14*(1+'Page d''accueil'!$F$17)</f>
        <v>179379.89327014636</v>
      </c>
      <c r="AJ14" s="172"/>
      <c r="AK14" s="172">
        <f>AA14*('Page d''accueil'!$F$17+1)</f>
        <v>224224.86658768295</v>
      </c>
      <c r="AL14" s="172">
        <f>AB14*(1+'Page d''accueil'!$F$17)</f>
        <v>224224.86658768295</v>
      </c>
      <c r="AM14" s="172">
        <f>AC14*(1+'Page d''accueil'!$F$17)</f>
        <v>0</v>
      </c>
      <c r="AN14" s="172">
        <f>AF14*'Page d''accueil'!$F$14</f>
        <v>35875.97865402927</v>
      </c>
      <c r="AO14" s="172">
        <f>AF14*'Page d''accueil'!$F$15</f>
        <v>56056.216646920737</v>
      </c>
      <c r="AP14" s="172">
        <f>AF14*('Page d''accueil'!$F$17+1)</f>
        <v>230278.93798555038</v>
      </c>
      <c r="AQ14" s="172">
        <f>AG14*(1+'Page d''accueil'!$F$17)</f>
        <v>184223.15038844029</v>
      </c>
      <c r="AR14" s="172">
        <f>AH14*(1+'Page d''accueil'!$F$17)</f>
        <v>184223.15038844029</v>
      </c>
      <c r="AS14" s="172">
        <f>AI14*(1+'Page d''accueil'!$F$17)</f>
        <v>184223.15038844029</v>
      </c>
      <c r="AT14" s="172"/>
      <c r="AU14" s="172">
        <f>AK14*('Page d''accueil'!$F$17+1)</f>
        <v>230278.93798555038</v>
      </c>
      <c r="AV14" s="172">
        <f>AL14*(1+'Page d''accueil'!$F$17)</f>
        <v>230278.93798555038</v>
      </c>
      <c r="AW14" s="172">
        <f>AM14*(1+'Page d''accueil'!$F$17)</f>
        <v>0</v>
      </c>
      <c r="AX14" s="172">
        <f>AP14*'Page d''accueil'!$F$14</f>
        <v>36844.63007768806</v>
      </c>
      <c r="AY14" s="172">
        <f>AP14*'Page d''accueil'!$F$15</f>
        <v>57569.734496387595</v>
      </c>
    </row>
    <row r="15" spans="1:51" s="5" customFormat="1" ht="12" customHeight="1">
      <c r="A15" s="169">
        <v>12</v>
      </c>
      <c r="B15" s="170" t="s">
        <v>281</v>
      </c>
      <c r="C15" s="170" t="s">
        <v>283</v>
      </c>
      <c r="D15" s="171">
        <v>219880</v>
      </c>
      <c r="E15" s="171">
        <v>175904</v>
      </c>
      <c r="F15" s="171">
        <v>175904</v>
      </c>
      <c r="G15" s="171">
        <v>175904</v>
      </c>
      <c r="H15" s="171">
        <v>219880</v>
      </c>
      <c r="I15" s="171">
        <v>175904</v>
      </c>
      <c r="J15" s="172">
        <v>0</v>
      </c>
      <c r="K15" s="172">
        <f>D15*'Page d''accueil'!$F$15</f>
        <v>54970</v>
      </c>
      <c r="L15" s="172">
        <f>D15*('Page d''accueil'!$F$17+1)</f>
        <v>225816.75999999998</v>
      </c>
      <c r="M15" s="172">
        <f>E15*(1+'Page d''accueil'!$F$17)</f>
        <v>180653.408</v>
      </c>
      <c r="N15" s="172">
        <f>F15*(1+'Page d''accueil'!$F$17)</f>
        <v>180653.408</v>
      </c>
      <c r="O15" s="172"/>
      <c r="P15" s="172">
        <v>225816.75999999998</v>
      </c>
      <c r="Q15" s="172">
        <f>G15*(1+'Page d''accueil'!$F$17)</f>
        <v>180653.408</v>
      </c>
      <c r="R15" s="172">
        <f>H15*(1+'Page d''accueil'!$F$17)</f>
        <v>225816.75999999998</v>
      </c>
      <c r="S15" s="172">
        <f>I15*(1+'Page d''accueil'!$F$17)</f>
        <v>180653.408</v>
      </c>
      <c r="T15" s="172">
        <f>L15*'Page d''accueil'!$F$14</f>
        <v>36130.681599999996</v>
      </c>
      <c r="U15" s="172">
        <f>L15*'Page d''accueil'!$F$15</f>
        <v>56454.189999999995</v>
      </c>
      <c r="V15" s="172">
        <f>L15*('Page d''accueil'!$F$17+1)</f>
        <v>231913.81251999995</v>
      </c>
      <c r="W15" s="172">
        <f>M15*(1+'Page d''accueil'!$F$17)</f>
        <v>185531.05001599999</v>
      </c>
      <c r="X15" s="172">
        <f>N15*(1+'Page d''accueil'!$F$17)</f>
        <v>185531.05001599999</v>
      </c>
      <c r="Y15" s="172">
        <f>Q15*(1+'Page d''accueil'!$F$17)</f>
        <v>185531.05001599999</v>
      </c>
      <c r="Z15" s="172"/>
      <c r="AA15" s="172">
        <v>231913.81251999995</v>
      </c>
      <c r="AB15" s="172">
        <f>R15*(1+'Page d''accueil'!$F$17)</f>
        <v>231913.81251999995</v>
      </c>
      <c r="AC15" s="172">
        <f>S15*(1+'Page d''accueil'!$F$17)</f>
        <v>185531.05001599999</v>
      </c>
      <c r="AD15" s="172">
        <f>V15*'Page d''accueil'!$F$14</f>
        <v>37106.210003199994</v>
      </c>
      <c r="AE15" s="172">
        <f>V15*'Page d''accueil'!$F$15</f>
        <v>57978.453129999987</v>
      </c>
      <c r="AF15" s="172">
        <f>V15*('Page d''accueil'!$F$17+1)</f>
        <v>238175.48545803994</v>
      </c>
      <c r="AG15" s="172">
        <f>W15*(1+'Page d''accueil'!$F$17)</f>
        <v>190540.38836643199</v>
      </c>
      <c r="AH15" s="172">
        <f>X15*(1+'Page d''accueil'!$F$17)</f>
        <v>190540.38836643199</v>
      </c>
      <c r="AI15" s="172">
        <f>Y15*(1+'Page d''accueil'!$F$17)</f>
        <v>190540.38836643199</v>
      </c>
      <c r="AJ15" s="172"/>
      <c r="AK15" s="172">
        <f>AA15*('Page d''accueil'!$F$17+1)</f>
        <v>238175.48545803994</v>
      </c>
      <c r="AL15" s="172">
        <f>AB15*(1+'Page d''accueil'!$F$17)</f>
        <v>238175.48545803994</v>
      </c>
      <c r="AM15" s="172">
        <f>AC15*(1+'Page d''accueil'!$F$17)</f>
        <v>190540.38836643199</v>
      </c>
      <c r="AN15" s="172">
        <f>AF15*'Page d''accueil'!$F$14</f>
        <v>38108.077673286389</v>
      </c>
      <c r="AO15" s="172">
        <f>AF15*'Page d''accueil'!$F$15</f>
        <v>59543.871364509985</v>
      </c>
      <c r="AP15" s="172">
        <f>AF15*('Page d''accueil'!$F$17+1)</f>
        <v>244606.22356540701</v>
      </c>
      <c r="AQ15" s="172">
        <f>AG15*(1+'Page d''accueil'!$F$17)</f>
        <v>195684.97885232564</v>
      </c>
      <c r="AR15" s="172">
        <f>AH15*(1+'Page d''accueil'!$F$17)</f>
        <v>195684.97885232564</v>
      </c>
      <c r="AS15" s="172">
        <f>AI15*(1+'Page d''accueil'!$F$17)</f>
        <v>195684.97885232564</v>
      </c>
      <c r="AT15" s="172"/>
      <c r="AU15" s="172">
        <f>AK15*('Page d''accueil'!$F$17+1)</f>
        <v>244606.22356540701</v>
      </c>
      <c r="AV15" s="172">
        <f>AL15*(1+'Page d''accueil'!$F$17)</f>
        <v>244606.22356540701</v>
      </c>
      <c r="AW15" s="172">
        <f>AM15*(1+'Page d''accueil'!$F$17)</f>
        <v>195684.97885232564</v>
      </c>
      <c r="AX15" s="172">
        <f>AP15*'Page d''accueil'!$F$14</f>
        <v>39136.995770465124</v>
      </c>
      <c r="AY15" s="172">
        <f>AP15*'Page d''accueil'!$F$15</f>
        <v>61151.555891351753</v>
      </c>
    </row>
    <row r="16" spans="1:51" s="5" customFormat="1" ht="12" customHeight="1">
      <c r="A16" s="169">
        <v>13</v>
      </c>
      <c r="B16" s="170" t="s">
        <v>281</v>
      </c>
      <c r="C16" s="170" t="s">
        <v>284</v>
      </c>
      <c r="D16" s="171">
        <v>300690</v>
      </c>
      <c r="E16" s="171">
        <v>240552</v>
      </c>
      <c r="F16" s="171">
        <v>240552</v>
      </c>
      <c r="G16" s="171">
        <v>240552</v>
      </c>
      <c r="H16" s="171">
        <v>300690</v>
      </c>
      <c r="I16" s="171">
        <v>240552</v>
      </c>
      <c r="J16" s="172">
        <v>123282.9</v>
      </c>
      <c r="K16" s="172">
        <f>D16*'Page d''accueil'!$F$15</f>
        <v>75172.5</v>
      </c>
      <c r="L16" s="172">
        <f>D16*('Page d''accueil'!$F$17+1)</f>
        <v>308808.62999999995</v>
      </c>
      <c r="M16" s="172">
        <f>E16*(1+'Page d''accueil'!$F$17)</f>
        <v>247046.90399999998</v>
      </c>
      <c r="N16" s="172">
        <f>F16*(1+'Page d''accueil'!$F$17)</f>
        <v>247046.90399999998</v>
      </c>
      <c r="O16" s="172"/>
      <c r="P16" s="172">
        <v>308808.62999999995</v>
      </c>
      <c r="Q16" s="172">
        <f>G16*(1+'Page d''accueil'!$F$17)</f>
        <v>247046.90399999998</v>
      </c>
      <c r="R16" s="172">
        <f>H16*(1+'Page d''accueil'!$F$17)</f>
        <v>308808.62999999995</v>
      </c>
      <c r="S16" s="172">
        <f>I16*(1+'Page d''accueil'!$F$17)</f>
        <v>247046.90399999998</v>
      </c>
      <c r="T16" s="172">
        <f>L16*'Page d''accueil'!$F$14</f>
        <v>49409.380799999992</v>
      </c>
      <c r="U16" s="172">
        <f>L16*'Page d''accueil'!$F$15</f>
        <v>77202.157499999987</v>
      </c>
      <c r="V16" s="172">
        <f>L16*('Page d''accueil'!$F$17+1)</f>
        <v>317146.46300999989</v>
      </c>
      <c r="W16" s="172">
        <f>M16*(1+'Page d''accueil'!$F$17)</f>
        <v>253717.17040799995</v>
      </c>
      <c r="X16" s="172">
        <f>N16*(1+'Page d''accueil'!$F$17)</f>
        <v>253717.17040799995</v>
      </c>
      <c r="Y16" s="172">
        <f>Q16*(1+'Page d''accueil'!$F$17)</f>
        <v>253717.17040799995</v>
      </c>
      <c r="Z16" s="172"/>
      <c r="AA16" s="172">
        <v>317146.46300999989</v>
      </c>
      <c r="AB16" s="172">
        <f>R16*(1+'Page d''accueil'!$F$17)</f>
        <v>317146.46300999989</v>
      </c>
      <c r="AC16" s="172">
        <f>S16*(1+'Page d''accueil'!$F$17)</f>
        <v>253717.17040799995</v>
      </c>
      <c r="AD16" s="172">
        <f>V16*'Page d''accueil'!$F$14</f>
        <v>50743.434081599982</v>
      </c>
      <c r="AE16" s="172">
        <f>V16*'Page d''accueil'!$F$15</f>
        <v>79286.615752499973</v>
      </c>
      <c r="AF16" s="172">
        <f>V16*('Page d''accueil'!$F$17+1)</f>
        <v>325709.41751126986</v>
      </c>
      <c r="AG16" s="172">
        <f>W16*(1+'Page d''accueil'!$F$17)</f>
        <v>260567.53400901592</v>
      </c>
      <c r="AH16" s="172">
        <f>X16*(1+'Page d''accueil'!$F$17)</f>
        <v>260567.53400901592</v>
      </c>
      <c r="AI16" s="172">
        <f>Y16*(1+'Page d''accueil'!$F$17)</f>
        <v>260567.53400901592</v>
      </c>
      <c r="AJ16" s="172"/>
      <c r="AK16" s="172">
        <f>AA16*('Page d''accueil'!$F$17+1)</f>
        <v>325709.41751126986</v>
      </c>
      <c r="AL16" s="172">
        <f>AB16*(1+'Page d''accueil'!$F$17)</f>
        <v>325709.41751126986</v>
      </c>
      <c r="AM16" s="172">
        <f>AC16*(1+'Page d''accueil'!$F$17)</f>
        <v>260567.53400901592</v>
      </c>
      <c r="AN16" s="172">
        <f>AF16*'Page d''accueil'!$F$14</f>
        <v>52113.506801803182</v>
      </c>
      <c r="AO16" s="172">
        <f>AF16*'Page d''accueil'!$F$15</f>
        <v>81427.354377817464</v>
      </c>
      <c r="AP16" s="172">
        <f>AF16*('Page d''accueil'!$F$17+1)</f>
        <v>334503.57178407413</v>
      </c>
      <c r="AQ16" s="172">
        <f>AG16*(1+'Page d''accueil'!$F$17)</f>
        <v>267602.85742725933</v>
      </c>
      <c r="AR16" s="172">
        <f>AH16*(1+'Page d''accueil'!$F$17)</f>
        <v>267602.85742725933</v>
      </c>
      <c r="AS16" s="172">
        <f>AI16*(1+'Page d''accueil'!$F$17)</f>
        <v>267602.85742725933</v>
      </c>
      <c r="AT16" s="172"/>
      <c r="AU16" s="172">
        <f>AK16*('Page d''accueil'!$F$17+1)</f>
        <v>334503.57178407413</v>
      </c>
      <c r="AV16" s="172">
        <f>AL16*(1+'Page d''accueil'!$F$17)</f>
        <v>334503.57178407413</v>
      </c>
      <c r="AW16" s="172">
        <f>AM16*(1+'Page d''accueil'!$F$17)</f>
        <v>267602.85742725933</v>
      </c>
      <c r="AX16" s="172">
        <f>AP16*'Page d''accueil'!$F$14</f>
        <v>53520.571485451859</v>
      </c>
      <c r="AY16" s="172">
        <f>AP16*'Page d''accueil'!$F$15</f>
        <v>83625.892946018532</v>
      </c>
    </row>
    <row r="17" spans="1:51" s="5" customFormat="1" ht="12" customHeight="1">
      <c r="A17" s="169">
        <v>14</v>
      </c>
      <c r="B17" s="170" t="s">
        <v>281</v>
      </c>
      <c r="C17" s="170" t="s">
        <v>285</v>
      </c>
      <c r="D17" s="171">
        <v>300112</v>
      </c>
      <c r="E17" s="171">
        <v>240089.60000000001</v>
      </c>
      <c r="F17" s="171">
        <v>240089.60000000001</v>
      </c>
      <c r="G17" s="171">
        <v>240089.60000000001</v>
      </c>
      <c r="H17" s="171">
        <v>300112</v>
      </c>
      <c r="I17" s="171">
        <v>240089.60000000001</v>
      </c>
      <c r="J17" s="172">
        <v>123045.92</v>
      </c>
      <c r="K17" s="172">
        <f>D17*'Page d''accueil'!$F$15</f>
        <v>75028</v>
      </c>
      <c r="L17" s="172">
        <f>D17*('Page d''accueil'!$F$17+1)</f>
        <v>308215.02399999998</v>
      </c>
      <c r="M17" s="172">
        <f>E17*(1+'Page d''accueil'!$F$17)</f>
        <v>246572.01919999998</v>
      </c>
      <c r="N17" s="172">
        <f>F17*(1+'Page d''accueil'!$F$17)</f>
        <v>246572.01919999998</v>
      </c>
      <c r="O17" s="172"/>
      <c r="P17" s="172">
        <v>308215.02399999998</v>
      </c>
      <c r="Q17" s="172">
        <f>G17*(1+'Page d''accueil'!$F$17)</f>
        <v>246572.01919999998</v>
      </c>
      <c r="R17" s="172">
        <f>H17*(1+'Page d''accueil'!$F$17)</f>
        <v>308215.02399999998</v>
      </c>
      <c r="S17" s="172">
        <f>I17*(1+'Page d''accueil'!$F$17)</f>
        <v>246572.01919999998</v>
      </c>
      <c r="T17" s="172">
        <f>L17*'Page d''accueil'!$F$14</f>
        <v>49314.403839999999</v>
      </c>
      <c r="U17" s="172">
        <f>L17*'Page d''accueil'!$F$15</f>
        <v>77053.755999999994</v>
      </c>
      <c r="V17" s="172">
        <f>L17*('Page d''accueil'!$F$17+1)</f>
        <v>316536.82964799996</v>
      </c>
      <c r="W17" s="172">
        <f>M17*(1+'Page d''accueil'!$F$17)</f>
        <v>253229.46371839996</v>
      </c>
      <c r="X17" s="172">
        <f>N17*(1+'Page d''accueil'!$F$17)</f>
        <v>253229.46371839996</v>
      </c>
      <c r="Y17" s="172">
        <f>Q17*(1+'Page d''accueil'!$F$17)</f>
        <v>253229.46371839996</v>
      </c>
      <c r="Z17" s="172"/>
      <c r="AA17" s="172">
        <v>316536.82964799996</v>
      </c>
      <c r="AB17" s="172">
        <f>R17*(1+'Page d''accueil'!$F$17)</f>
        <v>316536.82964799996</v>
      </c>
      <c r="AC17" s="172">
        <f>S17*(1+'Page d''accueil'!$F$17)</f>
        <v>253229.46371839996</v>
      </c>
      <c r="AD17" s="172">
        <f>V17*'Page d''accueil'!$F$14</f>
        <v>50645.892743679993</v>
      </c>
      <c r="AE17" s="172">
        <f>V17*'Page d''accueil'!$F$15</f>
        <v>79134.207411999989</v>
      </c>
      <c r="AF17" s="172">
        <f>V17*('Page d''accueil'!$F$17+1)</f>
        <v>325083.32404849591</v>
      </c>
      <c r="AG17" s="172">
        <f>W17*(1+'Page d''accueil'!$F$17)</f>
        <v>260066.65923879674</v>
      </c>
      <c r="AH17" s="172">
        <f>X17*(1+'Page d''accueil'!$F$17)</f>
        <v>260066.65923879674</v>
      </c>
      <c r="AI17" s="172">
        <f>Y17*(1+'Page d''accueil'!$F$17)</f>
        <v>260066.65923879674</v>
      </c>
      <c r="AJ17" s="172"/>
      <c r="AK17" s="172">
        <f>AA17*('Page d''accueil'!$F$17+1)</f>
        <v>325083.32404849591</v>
      </c>
      <c r="AL17" s="172">
        <f>AB17*(1+'Page d''accueil'!$F$17)</f>
        <v>325083.32404849591</v>
      </c>
      <c r="AM17" s="172">
        <f>AC17*(1+'Page d''accueil'!$F$17)</f>
        <v>260066.65923879674</v>
      </c>
      <c r="AN17" s="172">
        <f>AF17*'Page d''accueil'!$F$14</f>
        <v>52013.331847759349</v>
      </c>
      <c r="AO17" s="172">
        <f>AF17*'Page d''accueil'!$F$15</f>
        <v>81270.831012123977</v>
      </c>
      <c r="AP17" s="172">
        <f>AF17*('Page d''accueil'!$F$17+1)</f>
        <v>333860.57379780529</v>
      </c>
      <c r="AQ17" s="172">
        <f>AG17*(1+'Page d''accueil'!$F$17)</f>
        <v>267088.45903824421</v>
      </c>
      <c r="AR17" s="172">
        <f>AH17*(1+'Page d''accueil'!$F$17)</f>
        <v>267088.45903824421</v>
      </c>
      <c r="AS17" s="172">
        <f>AI17*(1+'Page d''accueil'!$F$17)</f>
        <v>267088.45903824421</v>
      </c>
      <c r="AT17" s="172"/>
      <c r="AU17" s="172">
        <f>AK17*('Page d''accueil'!$F$17+1)</f>
        <v>333860.57379780529</v>
      </c>
      <c r="AV17" s="172">
        <f>AL17*(1+'Page d''accueil'!$F$17)</f>
        <v>333860.57379780529</v>
      </c>
      <c r="AW17" s="172">
        <f>AM17*(1+'Page d''accueil'!$F$17)</f>
        <v>267088.45903824421</v>
      </c>
      <c r="AX17" s="172">
        <f>AP17*'Page d''accueil'!$F$14</f>
        <v>53417.691807648851</v>
      </c>
      <c r="AY17" s="172">
        <f>AP17*'Page d''accueil'!$F$15</f>
        <v>83465.143449451323</v>
      </c>
    </row>
    <row r="18" spans="1:51" s="5" customFormat="1" ht="12" customHeight="1">
      <c r="A18" s="169">
        <v>15</v>
      </c>
      <c r="B18" s="170" t="s">
        <v>286</v>
      </c>
      <c r="C18" s="170" t="s">
        <v>287</v>
      </c>
      <c r="D18" s="171">
        <v>527891</v>
      </c>
      <c r="E18" s="171">
        <v>422312.80000000005</v>
      </c>
      <c r="F18" s="171">
        <v>422312.80000000005</v>
      </c>
      <c r="G18" s="171">
        <v>422312.80000000005</v>
      </c>
      <c r="H18" s="171">
        <v>0</v>
      </c>
      <c r="I18" s="171">
        <v>131972.75</v>
      </c>
      <c r="J18" s="172">
        <v>216435.31</v>
      </c>
      <c r="K18" s="172">
        <f>D18*'Page d''accueil'!$F$15</f>
        <v>131972.75</v>
      </c>
      <c r="L18" s="172">
        <f>D18*('Page d''accueil'!$F$17+1)</f>
        <v>542144.05699999991</v>
      </c>
      <c r="M18" s="172">
        <f>E18*(1+'Page d''accueil'!$F$17)</f>
        <v>433715.24560000002</v>
      </c>
      <c r="N18" s="172">
        <f>F18*(1+'Page d''accueil'!$F$17)</f>
        <v>433715.24560000002</v>
      </c>
      <c r="O18" s="172">
        <f>P18/10</f>
        <v>54214.405699999988</v>
      </c>
      <c r="P18" s="172">
        <v>542144.05699999991</v>
      </c>
      <c r="Q18" s="172">
        <f>G18*(1+'Page d''accueil'!$F$17)</f>
        <v>433715.24560000002</v>
      </c>
      <c r="R18" s="172">
        <f>H18*(1+'Page d''accueil'!$F$17)</f>
        <v>0</v>
      </c>
      <c r="S18" s="172">
        <f>I18*(1+'Page d''accueil'!$F$17)</f>
        <v>135536.01424999998</v>
      </c>
      <c r="T18" s="172">
        <f>L18*'Page d''accueil'!$F$14</f>
        <v>86743.049119999981</v>
      </c>
      <c r="U18" s="172">
        <f>L18*'Page d''accueil'!$F$15</f>
        <v>135536.01424999998</v>
      </c>
      <c r="V18" s="172">
        <f>L18*('Page d''accueil'!$F$17+1)</f>
        <v>556781.94653899991</v>
      </c>
      <c r="W18" s="172">
        <f>M18*(1+'Page d''accueil'!$F$17)</f>
        <v>445425.55723119999</v>
      </c>
      <c r="X18" s="172">
        <f>N18*(1+'Page d''accueil'!$F$17)</f>
        <v>445425.55723119999</v>
      </c>
      <c r="Y18" s="172">
        <f>Q18*(1+'Page d''accueil'!$F$17)</f>
        <v>445425.55723119999</v>
      </c>
      <c r="Z18" s="172">
        <f>AA18/10</f>
        <v>55678.194653899991</v>
      </c>
      <c r="AA18" s="172">
        <v>556781.94653899991</v>
      </c>
      <c r="AB18" s="172">
        <f>R18*(1+'Page d''accueil'!$F$17)</f>
        <v>0</v>
      </c>
      <c r="AC18" s="172">
        <f>S18*(1+'Page d''accueil'!$F$17)</f>
        <v>139195.48663474998</v>
      </c>
      <c r="AD18" s="172">
        <f>V18*'Page d''accueil'!$F$14</f>
        <v>89085.111446239986</v>
      </c>
      <c r="AE18" s="172">
        <f>V18*'Page d''accueil'!$F$15</f>
        <v>139195.48663474998</v>
      </c>
      <c r="AF18" s="172">
        <f>V18*('Page d''accueil'!$F$17+1)</f>
        <v>571815.05909555289</v>
      </c>
      <c r="AG18" s="172">
        <f>W18*(1+'Page d''accueil'!$F$17)</f>
        <v>457452.04727644235</v>
      </c>
      <c r="AH18" s="172">
        <f>X18*(1+'Page d''accueil'!$F$17)</f>
        <v>457452.04727644235</v>
      </c>
      <c r="AI18" s="172">
        <f>Y18*(1+'Page d''accueil'!$F$17)</f>
        <v>457452.04727644235</v>
      </c>
      <c r="AJ18" s="172">
        <f>AK18/10</f>
        <v>57181.505909555286</v>
      </c>
      <c r="AK18" s="172">
        <f>AA18*('Page d''accueil'!$F$17+1)</f>
        <v>571815.05909555289</v>
      </c>
      <c r="AL18" s="172">
        <f>AB18*(1+'Page d''accueil'!$F$17)</f>
        <v>0</v>
      </c>
      <c r="AM18" s="172">
        <f>AC18*(1+'Page d''accueil'!$F$17)</f>
        <v>142953.76477388822</v>
      </c>
      <c r="AN18" s="172">
        <f>AF18*'Page d''accueil'!$F$14</f>
        <v>91490.409455288464</v>
      </c>
      <c r="AO18" s="172">
        <f>AF18*'Page d''accueil'!$F$15</f>
        <v>142953.76477388822</v>
      </c>
      <c r="AP18" s="172">
        <f>AF18*('Page d''accueil'!$F$17+1)</f>
        <v>587254.0656911328</v>
      </c>
      <c r="AQ18" s="172">
        <f>AG18*(1+'Page d''accueil'!$F$17)</f>
        <v>469803.25255290623</v>
      </c>
      <c r="AR18" s="172">
        <f>AH18*(1+'Page d''accueil'!$F$17)</f>
        <v>469803.25255290623</v>
      </c>
      <c r="AS18" s="172">
        <f>AI18*(1+'Page d''accueil'!$F$17)</f>
        <v>469803.25255290623</v>
      </c>
      <c r="AT18" s="172">
        <f>AU18/10</f>
        <v>58725.406569113278</v>
      </c>
      <c r="AU18" s="172">
        <f>AK18*('Page d''accueil'!$F$17+1)</f>
        <v>587254.0656911328</v>
      </c>
      <c r="AV18" s="172">
        <f>AL18*(1+'Page d''accueil'!$F$17)</f>
        <v>0</v>
      </c>
      <c r="AW18" s="172">
        <f>AM18*(1+'Page d''accueil'!$F$17)</f>
        <v>146813.5164227832</v>
      </c>
      <c r="AX18" s="172">
        <f>AP18*'Page d''accueil'!$F$14</f>
        <v>93960.650510581254</v>
      </c>
      <c r="AY18" s="172">
        <f>AP18*'Page d''accueil'!$F$15</f>
        <v>146813.5164227832</v>
      </c>
    </row>
    <row r="19" spans="1:51" s="5" customFormat="1" ht="12" customHeight="1">
      <c r="A19" s="169">
        <v>16</v>
      </c>
      <c r="B19" s="170" t="s">
        <v>286</v>
      </c>
      <c r="C19" s="170" t="s">
        <v>288</v>
      </c>
      <c r="D19" s="171">
        <v>222964</v>
      </c>
      <c r="E19" s="171">
        <v>178371.20000000001</v>
      </c>
      <c r="F19" s="171">
        <v>178371.20000000001</v>
      </c>
      <c r="G19" s="171">
        <v>178371.20000000001</v>
      </c>
      <c r="H19" s="171">
        <v>0</v>
      </c>
      <c r="I19" s="171">
        <v>178371.20000000001</v>
      </c>
      <c r="J19" s="172">
        <v>91415.239999999991</v>
      </c>
      <c r="K19" s="172">
        <f>D19*'Page d''accueil'!$F$15</f>
        <v>55741</v>
      </c>
      <c r="L19" s="172">
        <f>D19*('Page d''accueil'!$F$17+1)</f>
        <v>228984.02799999999</v>
      </c>
      <c r="M19" s="172">
        <f>E19*(1+'Page d''accueil'!$F$17)</f>
        <v>183187.2224</v>
      </c>
      <c r="N19" s="172">
        <f>F19*(1+'Page d''accueil'!$F$17)</f>
        <v>183187.2224</v>
      </c>
      <c r="O19" s="172"/>
      <c r="P19" s="172">
        <v>228984.02799999999</v>
      </c>
      <c r="Q19" s="172">
        <f>G19*(1+'Page d''accueil'!$F$17)</f>
        <v>183187.2224</v>
      </c>
      <c r="R19" s="172">
        <f>H19*(1+'Page d''accueil'!$F$17)</f>
        <v>0</v>
      </c>
      <c r="S19" s="172">
        <f>I19*(1+'Page d''accueil'!$F$17)</f>
        <v>183187.2224</v>
      </c>
      <c r="T19" s="172">
        <f>L19*'Page d''accueil'!$F$14</f>
        <v>36637.444479999998</v>
      </c>
      <c r="U19" s="172">
        <f>L19*'Page d''accueil'!$F$15</f>
        <v>57246.006999999998</v>
      </c>
      <c r="V19" s="172">
        <f>L19*('Page d''accueil'!$F$17+1)</f>
        <v>235166.59675599998</v>
      </c>
      <c r="W19" s="172">
        <f>M19*(1+'Page d''accueil'!$F$17)</f>
        <v>188133.27740479997</v>
      </c>
      <c r="X19" s="172">
        <f>N19*(1+'Page d''accueil'!$F$17)</f>
        <v>188133.27740479997</v>
      </c>
      <c r="Y19" s="172">
        <f>Q19*(1+'Page d''accueil'!$F$17)</f>
        <v>188133.27740479997</v>
      </c>
      <c r="Z19" s="172"/>
      <c r="AA19" s="172">
        <v>235166.59675599998</v>
      </c>
      <c r="AB19" s="172">
        <f>R19*(1+'Page d''accueil'!$F$17)</f>
        <v>0</v>
      </c>
      <c r="AC19" s="172">
        <f>S19*(1+'Page d''accueil'!$F$17)</f>
        <v>188133.27740479997</v>
      </c>
      <c r="AD19" s="172">
        <f>V19*'Page d''accueil'!$F$14</f>
        <v>37626.655480959998</v>
      </c>
      <c r="AE19" s="172">
        <f>V19*'Page d''accueil'!$F$15</f>
        <v>58791.649188999996</v>
      </c>
      <c r="AF19" s="172">
        <f>V19*('Page d''accueil'!$F$17+1)</f>
        <v>241516.09486841195</v>
      </c>
      <c r="AG19" s="172">
        <f>W19*(1+'Page d''accueil'!$F$17)</f>
        <v>193212.87589472954</v>
      </c>
      <c r="AH19" s="172">
        <f>X19*(1+'Page d''accueil'!$F$17)</f>
        <v>193212.87589472954</v>
      </c>
      <c r="AI19" s="172">
        <f>Y19*(1+'Page d''accueil'!$F$17)</f>
        <v>193212.87589472954</v>
      </c>
      <c r="AJ19" s="172"/>
      <c r="AK19" s="172">
        <f>AA19*('Page d''accueil'!$F$17+1)</f>
        <v>241516.09486841195</v>
      </c>
      <c r="AL19" s="172">
        <f>AB19*(1+'Page d''accueil'!$F$17)</f>
        <v>0</v>
      </c>
      <c r="AM19" s="172">
        <f>AC19*(1+'Page d''accueil'!$F$17)</f>
        <v>193212.87589472954</v>
      </c>
      <c r="AN19" s="172">
        <f>AF19*'Page d''accueil'!$F$14</f>
        <v>38642.57517894591</v>
      </c>
      <c r="AO19" s="172">
        <f>AF19*'Page d''accueil'!$F$15</f>
        <v>60379.023717102988</v>
      </c>
      <c r="AP19" s="172">
        <f>AF19*('Page d''accueil'!$F$17+1)</f>
        <v>248037.02942985905</v>
      </c>
      <c r="AQ19" s="172">
        <f>AG19*(1+'Page d''accueil'!$F$17)</f>
        <v>198429.62354388722</v>
      </c>
      <c r="AR19" s="172">
        <f>AH19*(1+'Page d''accueil'!$F$17)</f>
        <v>198429.62354388722</v>
      </c>
      <c r="AS19" s="172">
        <f>AI19*(1+'Page d''accueil'!$F$17)</f>
        <v>198429.62354388722</v>
      </c>
      <c r="AT19" s="172"/>
      <c r="AU19" s="172">
        <f>AK19*('Page d''accueil'!$F$17+1)</f>
        <v>248037.02942985905</v>
      </c>
      <c r="AV19" s="172">
        <f>AL19*(1+'Page d''accueil'!$F$17)</f>
        <v>0</v>
      </c>
      <c r="AW19" s="172">
        <f>AM19*(1+'Page d''accueil'!$F$17)</f>
        <v>198429.62354388722</v>
      </c>
      <c r="AX19" s="172">
        <f>AP19*'Page d''accueil'!$F$14</f>
        <v>39685.924708777449</v>
      </c>
      <c r="AY19" s="172">
        <f>AP19*'Page d''accueil'!$F$15</f>
        <v>62009.257357464761</v>
      </c>
    </row>
    <row r="20" spans="1:51" s="5" customFormat="1" ht="12" customHeight="1">
      <c r="A20" s="169">
        <v>17</v>
      </c>
      <c r="B20" s="170" t="s">
        <v>286</v>
      </c>
      <c r="C20" s="170" t="s">
        <v>289</v>
      </c>
      <c r="D20" s="171">
        <v>322202</v>
      </c>
      <c r="E20" s="171">
        <v>257761.6</v>
      </c>
      <c r="F20" s="171">
        <v>257761.6</v>
      </c>
      <c r="G20" s="171">
        <v>257761.6</v>
      </c>
      <c r="H20" s="171">
        <v>322202</v>
      </c>
      <c r="I20" s="171">
        <v>80550.5</v>
      </c>
      <c r="J20" s="172">
        <v>0</v>
      </c>
      <c r="K20" s="172">
        <f>D20*'Page d''accueil'!$F$15</f>
        <v>80550.5</v>
      </c>
      <c r="L20" s="172">
        <f>D20*('Page d''accueil'!$F$17+1)</f>
        <v>330901.45399999997</v>
      </c>
      <c r="M20" s="172">
        <f>E20*(1+'Page d''accueil'!$F$17)</f>
        <v>264721.16320000001</v>
      </c>
      <c r="N20" s="172">
        <f>F20*(1+'Page d''accueil'!$F$17)</f>
        <v>264721.16320000001</v>
      </c>
      <c r="O20" s="172"/>
      <c r="P20" s="172">
        <v>330901.45399999997</v>
      </c>
      <c r="Q20" s="172">
        <f>G20*(1+'Page d''accueil'!$F$17)</f>
        <v>264721.16320000001</v>
      </c>
      <c r="R20" s="172">
        <f>H20*(1+'Page d''accueil'!$F$17)</f>
        <v>330901.45399999997</v>
      </c>
      <c r="S20" s="172">
        <f>I20*(1+'Page d''accueil'!$F$17)</f>
        <v>82725.363499999992</v>
      </c>
      <c r="T20" s="172">
        <f>L20*'Page d''accueil'!$F$14</f>
        <v>52944.232639999995</v>
      </c>
      <c r="U20" s="172">
        <f>L20*'Page d''accueil'!$F$15</f>
        <v>82725.363499999992</v>
      </c>
      <c r="V20" s="172">
        <f>L20*('Page d''accueil'!$F$17+1)</f>
        <v>339835.79325799993</v>
      </c>
      <c r="W20" s="172">
        <f>M20*(1+'Page d''accueil'!$F$17)</f>
        <v>271868.63460639998</v>
      </c>
      <c r="X20" s="172">
        <f>N20*(1+'Page d''accueil'!$F$17)</f>
        <v>271868.63460639998</v>
      </c>
      <c r="Y20" s="172">
        <f>Q20*(1+'Page d''accueil'!$F$17)</f>
        <v>271868.63460639998</v>
      </c>
      <c r="Z20" s="172"/>
      <c r="AA20" s="172">
        <v>339835.79325799993</v>
      </c>
      <c r="AB20" s="172">
        <f>R20*(1+'Page d''accueil'!$F$17)</f>
        <v>339835.79325799993</v>
      </c>
      <c r="AC20" s="172">
        <f>S20*(1+'Page d''accueil'!$F$17)</f>
        <v>84958.948314499983</v>
      </c>
      <c r="AD20" s="172">
        <f>V20*'Page d''accueil'!$F$14</f>
        <v>54373.726921279987</v>
      </c>
      <c r="AE20" s="172">
        <f>V20*'Page d''accueil'!$F$15</f>
        <v>84958.948314499983</v>
      </c>
      <c r="AF20" s="172">
        <f>V20*('Page d''accueil'!$F$17+1)</f>
        <v>349011.35967596591</v>
      </c>
      <c r="AG20" s="172">
        <f>W20*(1+'Page d''accueil'!$F$17)</f>
        <v>279209.08774077275</v>
      </c>
      <c r="AH20" s="172">
        <f>X20*(1+'Page d''accueil'!$F$17)</f>
        <v>279209.08774077275</v>
      </c>
      <c r="AI20" s="172">
        <f>Y20*(1+'Page d''accueil'!$F$17)</f>
        <v>279209.08774077275</v>
      </c>
      <c r="AJ20" s="172"/>
      <c r="AK20" s="172">
        <f>AA20*('Page d''accueil'!$F$17+1)</f>
        <v>349011.35967596591</v>
      </c>
      <c r="AL20" s="172">
        <f>AB20*(1+'Page d''accueil'!$F$17)</f>
        <v>349011.35967596591</v>
      </c>
      <c r="AM20" s="172">
        <f>AC20*(1+'Page d''accueil'!$F$17)</f>
        <v>87252.839918991478</v>
      </c>
      <c r="AN20" s="172">
        <f>AF20*'Page d''accueil'!$F$14</f>
        <v>55841.817548154548</v>
      </c>
      <c r="AO20" s="172">
        <f>AF20*'Page d''accueil'!$F$15</f>
        <v>87252.839918991478</v>
      </c>
      <c r="AP20" s="172">
        <f>AF20*('Page d''accueil'!$F$17+1)</f>
        <v>358434.66638721694</v>
      </c>
      <c r="AQ20" s="172">
        <f>AG20*(1+'Page d''accueil'!$F$17)</f>
        <v>286747.7331097736</v>
      </c>
      <c r="AR20" s="172">
        <f>AH20*(1+'Page d''accueil'!$F$17)</f>
        <v>286747.7331097736</v>
      </c>
      <c r="AS20" s="172">
        <f>AI20*(1+'Page d''accueil'!$F$17)</f>
        <v>286747.7331097736</v>
      </c>
      <c r="AT20" s="172"/>
      <c r="AU20" s="172">
        <f>AK20*('Page d''accueil'!$F$17+1)</f>
        <v>358434.66638721694</v>
      </c>
      <c r="AV20" s="172">
        <f>AL20*(1+'Page d''accueil'!$F$17)</f>
        <v>358434.66638721694</v>
      </c>
      <c r="AW20" s="172">
        <f>AM20*(1+'Page d''accueil'!$F$17)</f>
        <v>89608.666596804236</v>
      </c>
      <c r="AX20" s="172">
        <f>AP20*'Page d''accueil'!$F$14</f>
        <v>57349.546621954709</v>
      </c>
      <c r="AY20" s="172">
        <f>AP20*'Page d''accueil'!$F$15</f>
        <v>89608.666596804236</v>
      </c>
    </row>
    <row r="21" spans="1:51" s="5" customFormat="1" ht="12" customHeight="1">
      <c r="A21" s="169">
        <v>18</v>
      </c>
      <c r="B21" s="170" t="s">
        <v>286</v>
      </c>
      <c r="C21" s="170" t="s">
        <v>290</v>
      </c>
      <c r="D21" s="171">
        <v>387157</v>
      </c>
      <c r="E21" s="171">
        <v>309725.60000000003</v>
      </c>
      <c r="F21" s="171">
        <v>309725.60000000003</v>
      </c>
      <c r="G21" s="171">
        <v>309725.60000000003</v>
      </c>
      <c r="H21" s="171">
        <v>0</v>
      </c>
      <c r="I21" s="171">
        <v>0</v>
      </c>
      <c r="J21" s="172">
        <v>158734.37</v>
      </c>
      <c r="K21" s="172">
        <f>D21*'Page d''accueil'!$F$15</f>
        <v>96789.25</v>
      </c>
      <c r="L21" s="172">
        <f>D21*('Page d''accueil'!$F$17+1)</f>
        <v>397610.23899999994</v>
      </c>
      <c r="M21" s="172">
        <f>E21*(1+'Page d''accueil'!$F$17)</f>
        <v>318088.1912</v>
      </c>
      <c r="N21" s="172">
        <f>F21*(1+'Page d''accueil'!$F$17)</f>
        <v>318088.1912</v>
      </c>
      <c r="O21" s="172"/>
      <c r="P21" s="172">
        <v>397610.23899999994</v>
      </c>
      <c r="Q21" s="172">
        <f>G21*(1+'Page d''accueil'!$F$17)</f>
        <v>318088.1912</v>
      </c>
      <c r="R21" s="172">
        <f>H21*(1+'Page d''accueil'!$F$17)</f>
        <v>0</v>
      </c>
      <c r="S21" s="172">
        <f>I21*(1+'Page d''accueil'!$F$17)</f>
        <v>0</v>
      </c>
      <c r="T21" s="172">
        <f>L21*'Page d''accueil'!$F$14</f>
        <v>63617.638239999993</v>
      </c>
      <c r="U21" s="172">
        <f>L21*'Page d''accueil'!$F$15</f>
        <v>99402.559749999986</v>
      </c>
      <c r="V21" s="172">
        <f>L21*('Page d''accueil'!$F$17+1)</f>
        <v>408345.71545299992</v>
      </c>
      <c r="W21" s="172">
        <f>M21*(1+'Page d''accueil'!$F$17)</f>
        <v>326676.57236239995</v>
      </c>
      <c r="X21" s="172">
        <f>N21*(1+'Page d''accueil'!$F$17)</f>
        <v>326676.57236239995</v>
      </c>
      <c r="Y21" s="172">
        <f>Q21*(1+'Page d''accueil'!$F$17)</f>
        <v>326676.57236239995</v>
      </c>
      <c r="Z21" s="172"/>
      <c r="AA21" s="172">
        <v>408345.71545299992</v>
      </c>
      <c r="AB21" s="172">
        <f>R21*(1+'Page d''accueil'!$F$17)</f>
        <v>0</v>
      </c>
      <c r="AC21" s="172">
        <f>S21*(1+'Page d''accueil'!$F$17)</f>
        <v>0</v>
      </c>
      <c r="AD21" s="172">
        <f>V21*'Page d''accueil'!$F$14</f>
        <v>65335.314472479986</v>
      </c>
      <c r="AE21" s="172">
        <f>V21*'Page d''accueil'!$F$15</f>
        <v>102086.42886324998</v>
      </c>
      <c r="AF21" s="172">
        <f>V21*('Page d''accueil'!$F$17+1)</f>
        <v>419371.04977023089</v>
      </c>
      <c r="AG21" s="172">
        <f>W21*(1+'Page d''accueil'!$F$17)</f>
        <v>335496.83981618471</v>
      </c>
      <c r="AH21" s="172">
        <f>X21*(1+'Page d''accueil'!$F$17)</f>
        <v>335496.83981618471</v>
      </c>
      <c r="AI21" s="172">
        <f>Y21*(1+'Page d''accueil'!$F$17)</f>
        <v>335496.83981618471</v>
      </c>
      <c r="AJ21" s="172"/>
      <c r="AK21" s="172">
        <f>AA21*('Page d''accueil'!$F$17+1)</f>
        <v>419371.04977023089</v>
      </c>
      <c r="AL21" s="172">
        <f>AB21*(1+'Page d''accueil'!$F$17)</f>
        <v>0</v>
      </c>
      <c r="AM21" s="172">
        <f>AC21*(1+'Page d''accueil'!$F$17)</f>
        <v>0</v>
      </c>
      <c r="AN21" s="172">
        <f>AF21*'Page d''accueil'!$F$14</f>
        <v>67099.367963236946</v>
      </c>
      <c r="AO21" s="172">
        <f>AF21*'Page d''accueil'!$F$15</f>
        <v>104842.76244255772</v>
      </c>
      <c r="AP21" s="172">
        <f>AF21*('Page d''accueil'!$F$17+1)</f>
        <v>430694.06811402709</v>
      </c>
      <c r="AQ21" s="172">
        <f>AG21*(1+'Page d''accueil'!$F$17)</f>
        <v>344555.25449122168</v>
      </c>
      <c r="AR21" s="172">
        <f>AH21*(1+'Page d''accueil'!$F$17)</f>
        <v>344555.25449122168</v>
      </c>
      <c r="AS21" s="172">
        <f>AI21*(1+'Page d''accueil'!$F$17)</f>
        <v>344555.25449122168</v>
      </c>
      <c r="AT21" s="172"/>
      <c r="AU21" s="172">
        <f>AK21*('Page d''accueil'!$F$17+1)</f>
        <v>430694.06811402709</v>
      </c>
      <c r="AV21" s="172">
        <f>AL21*(1+'Page d''accueil'!$F$17)</f>
        <v>0</v>
      </c>
      <c r="AW21" s="172">
        <f>AM21*(1+'Page d''accueil'!$F$17)</f>
        <v>0</v>
      </c>
      <c r="AX21" s="172">
        <f>AP21*'Page d''accueil'!$F$14</f>
        <v>68911.050898244343</v>
      </c>
      <c r="AY21" s="172">
        <f>AP21*'Page d''accueil'!$F$15</f>
        <v>107673.51702850677</v>
      </c>
    </row>
    <row r="22" spans="1:51" s="5" customFormat="1" ht="12" customHeight="1">
      <c r="A22" s="169">
        <v>19</v>
      </c>
      <c r="B22" s="170" t="s">
        <v>286</v>
      </c>
      <c r="C22" s="170" t="s">
        <v>291</v>
      </c>
      <c r="D22" s="171">
        <v>896663</v>
      </c>
      <c r="E22" s="171">
        <v>717330.4</v>
      </c>
      <c r="F22" s="171">
        <v>717330.4</v>
      </c>
      <c r="G22" s="171">
        <v>717330.4</v>
      </c>
      <c r="H22" s="171">
        <v>0</v>
      </c>
      <c r="I22" s="171">
        <v>717330.4</v>
      </c>
      <c r="J22" s="172">
        <v>0</v>
      </c>
      <c r="K22" s="172">
        <f>D22*'Page d''accueil'!$F$15</f>
        <v>224165.75</v>
      </c>
      <c r="L22" s="172">
        <f>D22*('Page d''accueil'!$F$17+1)</f>
        <v>920872.90099999995</v>
      </c>
      <c r="M22" s="172">
        <f>E22*(1+'Page d''accueil'!$F$17)</f>
        <v>736698.32079999999</v>
      </c>
      <c r="N22" s="172">
        <f>F22*(1+'Page d''accueil'!$F$17)</f>
        <v>736698.32079999999</v>
      </c>
      <c r="O22" s="172"/>
      <c r="P22" s="172">
        <v>920872.90099999995</v>
      </c>
      <c r="Q22" s="172">
        <f>G22*(1+'Page d''accueil'!$F$17)</f>
        <v>736698.32079999999</v>
      </c>
      <c r="R22" s="172">
        <f>H22*(1+'Page d''accueil'!$F$17)</f>
        <v>0</v>
      </c>
      <c r="S22" s="172">
        <f>I22*(1+'Page d''accueil'!$F$17)</f>
        <v>736698.32079999999</v>
      </c>
      <c r="T22" s="172">
        <f>L22*'Page d''accueil'!$F$14</f>
        <v>147339.66415999999</v>
      </c>
      <c r="U22" s="172">
        <f>L22*'Page d''accueil'!$F$15</f>
        <v>230218.22524999999</v>
      </c>
      <c r="V22" s="172">
        <f>L22*('Page d''accueil'!$F$17+1)</f>
        <v>945736.46932699985</v>
      </c>
      <c r="W22" s="172">
        <f>M22*(1+'Page d''accueil'!$F$17)</f>
        <v>756589.17546159995</v>
      </c>
      <c r="X22" s="172">
        <f>N22*(1+'Page d''accueil'!$F$17)</f>
        <v>756589.17546159995</v>
      </c>
      <c r="Y22" s="172">
        <f>Q22*(1+'Page d''accueil'!$F$17)</f>
        <v>756589.17546159995</v>
      </c>
      <c r="Z22" s="172"/>
      <c r="AA22" s="172">
        <v>945736.46932699985</v>
      </c>
      <c r="AB22" s="172">
        <f>R22*(1+'Page d''accueil'!$F$17)</f>
        <v>0</v>
      </c>
      <c r="AC22" s="172">
        <f>S22*(1+'Page d''accueil'!$F$17)</f>
        <v>756589.17546159995</v>
      </c>
      <c r="AD22" s="172">
        <f>V22*'Page d''accueil'!$F$14</f>
        <v>151317.83509231999</v>
      </c>
      <c r="AE22" s="172">
        <f>V22*'Page d''accueil'!$F$15</f>
        <v>236434.11733174996</v>
      </c>
      <c r="AF22" s="172">
        <f>V22*('Page d''accueil'!$F$17+1)</f>
        <v>971271.3539988288</v>
      </c>
      <c r="AG22" s="172">
        <f>W22*(1+'Page d''accueil'!$F$17)</f>
        <v>777017.08319906308</v>
      </c>
      <c r="AH22" s="172">
        <f>X22*(1+'Page d''accueil'!$F$17)</f>
        <v>777017.08319906308</v>
      </c>
      <c r="AI22" s="172">
        <f>Y22*(1+'Page d''accueil'!$F$17)</f>
        <v>777017.08319906308</v>
      </c>
      <c r="AJ22" s="172"/>
      <c r="AK22" s="172">
        <f>AA22*('Page d''accueil'!$F$17+1)</f>
        <v>971271.3539988288</v>
      </c>
      <c r="AL22" s="172">
        <f>AB22*(1+'Page d''accueil'!$F$17)</f>
        <v>0</v>
      </c>
      <c r="AM22" s="172">
        <f>AC22*(1+'Page d''accueil'!$F$17)</f>
        <v>777017.08319906308</v>
      </c>
      <c r="AN22" s="172">
        <f>AF22*'Page d''accueil'!$F$14</f>
        <v>155403.41663981261</v>
      </c>
      <c r="AO22" s="172">
        <f>AF22*'Page d''accueil'!$F$15</f>
        <v>242817.8384997072</v>
      </c>
      <c r="AP22" s="172">
        <f>AF22*('Page d''accueil'!$F$17+1)</f>
        <v>997495.68055679707</v>
      </c>
      <c r="AQ22" s="172">
        <f>AG22*(1+'Page d''accueil'!$F$17)</f>
        <v>797996.54444543773</v>
      </c>
      <c r="AR22" s="172">
        <f>AH22*(1+'Page d''accueil'!$F$17)</f>
        <v>797996.54444543773</v>
      </c>
      <c r="AS22" s="172">
        <f>AI22*(1+'Page d''accueil'!$F$17)</f>
        <v>797996.54444543773</v>
      </c>
      <c r="AT22" s="172"/>
      <c r="AU22" s="172">
        <f>AK22*('Page d''accueil'!$F$17+1)</f>
        <v>997495.68055679707</v>
      </c>
      <c r="AV22" s="172">
        <f>AL22*(1+'Page d''accueil'!$F$17)</f>
        <v>0</v>
      </c>
      <c r="AW22" s="172">
        <f>AM22*(1+'Page d''accueil'!$F$17)</f>
        <v>797996.54444543773</v>
      </c>
      <c r="AX22" s="172">
        <f>AP22*'Page d''accueil'!$F$14</f>
        <v>159599.30888908752</v>
      </c>
      <c r="AY22" s="172">
        <f>AP22*'Page d''accueil'!$F$15</f>
        <v>249373.92013919927</v>
      </c>
    </row>
    <row r="23" spans="1:51" s="5" customFormat="1" ht="12" customHeight="1">
      <c r="A23" s="169">
        <v>20</v>
      </c>
      <c r="B23" s="170" t="s">
        <v>292</v>
      </c>
      <c r="C23" s="170" t="s">
        <v>293</v>
      </c>
      <c r="D23" s="171">
        <v>369901</v>
      </c>
      <c r="E23" s="171">
        <v>0</v>
      </c>
      <c r="F23" s="171">
        <v>0</v>
      </c>
      <c r="G23" s="171">
        <v>0</v>
      </c>
      <c r="H23" s="171">
        <v>0</v>
      </c>
      <c r="I23" s="171">
        <v>92475.25</v>
      </c>
      <c r="J23" s="172">
        <v>0</v>
      </c>
      <c r="K23" s="172">
        <f>D23*'Page d''accueil'!$F$15</f>
        <v>92475.25</v>
      </c>
      <c r="L23" s="172">
        <f>D23*('Page d''accueil'!$F$17+1)</f>
        <v>379888.32699999999</v>
      </c>
      <c r="M23" s="172">
        <f>E23*(1+'Page d''accueil'!$F$17)</f>
        <v>0</v>
      </c>
      <c r="N23" s="172">
        <f>F23*(1+'Page d''accueil'!$F$17)</f>
        <v>0</v>
      </c>
      <c r="O23" s="172">
        <f>P23/2</f>
        <v>189944.1635</v>
      </c>
      <c r="P23" s="172">
        <v>379888.32699999999</v>
      </c>
      <c r="Q23" s="172">
        <f>G23*(1+'Page d''accueil'!$F$17)</f>
        <v>0</v>
      </c>
      <c r="R23" s="172">
        <f>H23*(1+'Page d''accueil'!$F$17)</f>
        <v>0</v>
      </c>
      <c r="S23" s="172">
        <f>I23*(1+'Page d''accueil'!$F$17)</f>
        <v>94972.081749999998</v>
      </c>
      <c r="T23" s="172">
        <f>L23*'Page d''accueil'!$F$14</f>
        <v>60782.132319999997</v>
      </c>
      <c r="U23" s="172">
        <f>L23*'Page d''accueil'!$F$15</f>
        <v>94972.081749999998</v>
      </c>
      <c r="V23" s="172">
        <f>L23*('Page d''accueil'!$F$17+1)</f>
        <v>390145.31182899995</v>
      </c>
      <c r="W23" s="172">
        <f>M23*(1+'Page d''accueil'!$F$17)</f>
        <v>0</v>
      </c>
      <c r="X23" s="172">
        <f>N23*(1+'Page d''accueil'!$F$17)</f>
        <v>0</v>
      </c>
      <c r="Y23" s="172">
        <f>Q23*(1+'Page d''accueil'!$F$17)</f>
        <v>0</v>
      </c>
      <c r="Z23" s="172">
        <f>AA23/2</f>
        <v>195072.65591449998</v>
      </c>
      <c r="AA23" s="172">
        <v>390145.31182899995</v>
      </c>
      <c r="AB23" s="172">
        <f>R23*(1+'Page d''accueil'!$F$17)</f>
        <v>0</v>
      </c>
      <c r="AC23" s="172">
        <f>S23*(1+'Page d''accueil'!$F$17)</f>
        <v>97536.327957249989</v>
      </c>
      <c r="AD23" s="172">
        <f>V23*'Page d''accueil'!$F$14</f>
        <v>62423.249892639993</v>
      </c>
      <c r="AE23" s="172">
        <f>V23*'Page d''accueil'!$F$15</f>
        <v>97536.327957249989</v>
      </c>
      <c r="AF23" s="172">
        <f>V23*('Page d''accueil'!$F$17+1)</f>
        <v>400679.2352483829</v>
      </c>
      <c r="AG23" s="172">
        <f>W23*(1+'Page d''accueil'!$F$17)</f>
        <v>0</v>
      </c>
      <c r="AH23" s="172">
        <f>X23*(1+'Page d''accueil'!$F$17)</f>
        <v>0</v>
      </c>
      <c r="AI23" s="172">
        <f>Y23*(1+'Page d''accueil'!$F$17)</f>
        <v>0</v>
      </c>
      <c r="AJ23" s="172">
        <f>AK23/2</f>
        <v>200339.61762419145</v>
      </c>
      <c r="AK23" s="172">
        <f>AA23*('Page d''accueil'!$F$17+1)</f>
        <v>400679.2352483829</v>
      </c>
      <c r="AL23" s="172">
        <f>AB23*(1+'Page d''accueil'!$F$17)</f>
        <v>0</v>
      </c>
      <c r="AM23" s="172">
        <f>AC23*(1+'Page d''accueil'!$F$17)</f>
        <v>100169.80881209573</v>
      </c>
      <c r="AN23" s="172">
        <f>AF23*'Page d''accueil'!$F$14</f>
        <v>64108.677639741269</v>
      </c>
      <c r="AO23" s="172">
        <f>AF23*'Page d''accueil'!$F$15</f>
        <v>100169.80881209573</v>
      </c>
      <c r="AP23" s="172">
        <f>AF23*('Page d''accueil'!$F$17+1)</f>
        <v>411497.57460008922</v>
      </c>
      <c r="AQ23" s="172">
        <f>AG23*(1+'Page d''accueil'!$F$17)</f>
        <v>0</v>
      </c>
      <c r="AR23" s="172">
        <f>AH23*(1+'Page d''accueil'!$F$17)</f>
        <v>0</v>
      </c>
      <c r="AS23" s="172">
        <f>AI23*(1+'Page d''accueil'!$F$17)</f>
        <v>0</v>
      </c>
      <c r="AT23" s="172">
        <f>AU23/2</f>
        <v>205748.78730004461</v>
      </c>
      <c r="AU23" s="172">
        <f>AK23*('Page d''accueil'!$F$17+1)</f>
        <v>411497.57460008922</v>
      </c>
      <c r="AV23" s="172">
        <f>AL23*(1+'Page d''accueil'!$F$17)</f>
        <v>0</v>
      </c>
      <c r="AW23" s="172">
        <f>AM23*(1+'Page d''accueil'!$F$17)</f>
        <v>102874.39365002231</v>
      </c>
      <c r="AX23" s="172">
        <f>AP23*'Page d''accueil'!$F$14</f>
        <v>65839.611936014277</v>
      </c>
      <c r="AY23" s="172">
        <f>AP23*'Page d''accueil'!$F$15</f>
        <v>102874.39365002231</v>
      </c>
    </row>
    <row r="24" spans="1:51" s="5" customFormat="1" ht="12" customHeight="1">
      <c r="A24" s="169">
        <v>21</v>
      </c>
      <c r="B24" s="170" t="s">
        <v>292</v>
      </c>
      <c r="C24" s="170" t="s">
        <v>294</v>
      </c>
      <c r="D24" s="171">
        <v>495966</v>
      </c>
      <c r="E24" s="171">
        <v>0</v>
      </c>
      <c r="F24" s="171">
        <v>0</v>
      </c>
      <c r="G24" s="171">
        <v>0</v>
      </c>
      <c r="H24" s="171">
        <v>0</v>
      </c>
      <c r="I24" s="171">
        <v>123991.5</v>
      </c>
      <c r="J24" s="172">
        <v>0</v>
      </c>
      <c r="K24" s="172">
        <f>D24*'Page d''accueil'!$F$15</f>
        <v>123991.5</v>
      </c>
      <c r="L24" s="172">
        <f>D24*('Page d''accueil'!$F$17+1)</f>
        <v>509357.08199999994</v>
      </c>
      <c r="M24" s="172">
        <f>E24*(1+'Page d''accueil'!$F$17)</f>
        <v>0</v>
      </c>
      <c r="N24" s="172">
        <f>F24*(1+'Page d''accueil'!$F$17)</f>
        <v>0</v>
      </c>
      <c r="O24" s="172">
        <f>P24/2</f>
        <v>254678.54099999997</v>
      </c>
      <c r="P24" s="172">
        <v>509357.08199999994</v>
      </c>
      <c r="Q24" s="172">
        <f>G24*(1+'Page d''accueil'!$F$17)</f>
        <v>0</v>
      </c>
      <c r="R24" s="172">
        <f>H24*(1+'Page d''accueil'!$F$17)</f>
        <v>0</v>
      </c>
      <c r="S24" s="172">
        <f>I24*(1+'Page d''accueil'!$F$17)</f>
        <v>127339.27049999998</v>
      </c>
      <c r="T24" s="172">
        <f>L24*'Page d''accueil'!$F$14</f>
        <v>81497.133119999999</v>
      </c>
      <c r="U24" s="172">
        <f>L24*'Page d''accueil'!$F$15</f>
        <v>127339.27049999998</v>
      </c>
      <c r="V24" s="172">
        <f>L24*('Page d''accueil'!$F$17+1)</f>
        <v>523109.72321399988</v>
      </c>
      <c r="W24" s="172">
        <f>M24*(1+'Page d''accueil'!$F$17)</f>
        <v>0</v>
      </c>
      <c r="X24" s="172">
        <f>N24*(1+'Page d''accueil'!$F$17)</f>
        <v>0</v>
      </c>
      <c r="Y24" s="172">
        <f>Q24*(1+'Page d''accueil'!$F$17)</f>
        <v>0</v>
      </c>
      <c r="Z24" s="172">
        <f>AA24/2</f>
        <v>261554.86160699994</v>
      </c>
      <c r="AA24" s="172">
        <v>523109.72321399988</v>
      </c>
      <c r="AB24" s="172">
        <f>R24*(1+'Page d''accueil'!$F$17)</f>
        <v>0</v>
      </c>
      <c r="AC24" s="172">
        <f>S24*(1+'Page d''accueil'!$F$17)</f>
        <v>130777.43080349997</v>
      </c>
      <c r="AD24" s="172">
        <f>V24*'Page d''accueil'!$F$14</f>
        <v>83697.555714239978</v>
      </c>
      <c r="AE24" s="172">
        <f>V24*'Page d''accueil'!$F$15</f>
        <v>130777.43080349997</v>
      </c>
      <c r="AF24" s="172">
        <f>V24*('Page d''accueil'!$F$17+1)</f>
        <v>537233.68574077787</v>
      </c>
      <c r="AG24" s="172">
        <f>W24*(1+'Page d''accueil'!$F$17)</f>
        <v>0</v>
      </c>
      <c r="AH24" s="172">
        <f>X24*(1+'Page d''accueil'!$F$17)</f>
        <v>0</v>
      </c>
      <c r="AI24" s="172">
        <f>Y24*(1+'Page d''accueil'!$F$17)</f>
        <v>0</v>
      </c>
      <c r="AJ24" s="172">
        <f t="shared" ref="AJ24:AJ25" si="5">AK24/2</f>
        <v>268616.84287038894</v>
      </c>
      <c r="AK24" s="172">
        <f>AA24*('Page d''accueil'!$F$17+1)</f>
        <v>537233.68574077787</v>
      </c>
      <c r="AL24" s="172">
        <f>AB24*(1+'Page d''accueil'!$F$17)</f>
        <v>0</v>
      </c>
      <c r="AM24" s="172">
        <f>AC24*(1+'Page d''accueil'!$F$17)</f>
        <v>134308.42143519447</v>
      </c>
      <c r="AN24" s="172">
        <f>AF24*'Page d''accueil'!$F$14</f>
        <v>85957.389718524457</v>
      </c>
      <c r="AO24" s="172">
        <f>AF24*'Page d''accueil'!$F$15</f>
        <v>134308.42143519447</v>
      </c>
      <c r="AP24" s="172">
        <f>AF24*('Page d''accueil'!$F$17+1)</f>
        <v>551738.99525577878</v>
      </c>
      <c r="AQ24" s="172">
        <f>AG24*(1+'Page d''accueil'!$F$17)</f>
        <v>0</v>
      </c>
      <c r="AR24" s="172">
        <f>AH24*(1+'Page d''accueil'!$F$17)</f>
        <v>0</v>
      </c>
      <c r="AS24" s="172">
        <f>AI24*(1+'Page d''accueil'!$F$17)</f>
        <v>0</v>
      </c>
      <c r="AT24" s="172">
        <f>AU24/2</f>
        <v>275869.49762788939</v>
      </c>
      <c r="AU24" s="172">
        <f>AK24*('Page d''accueil'!$F$17+1)</f>
        <v>551738.99525577878</v>
      </c>
      <c r="AV24" s="172">
        <f>AL24*(1+'Page d''accueil'!$F$17)</f>
        <v>0</v>
      </c>
      <c r="AW24" s="172">
        <f>AM24*(1+'Page d''accueil'!$F$17)</f>
        <v>137934.74881394469</v>
      </c>
      <c r="AX24" s="172">
        <f>AP24*'Page d''accueil'!$F$14</f>
        <v>88278.239240924609</v>
      </c>
      <c r="AY24" s="172">
        <f>AP24*'Page d''accueil'!$F$15</f>
        <v>137934.74881394469</v>
      </c>
    </row>
    <row r="25" spans="1:51" s="5" customFormat="1" ht="12" customHeight="1">
      <c r="A25" s="169">
        <v>22</v>
      </c>
      <c r="B25" s="170" t="s">
        <v>292</v>
      </c>
      <c r="C25" s="170" t="s">
        <v>295</v>
      </c>
      <c r="D25" s="171">
        <v>271821</v>
      </c>
      <c r="E25" s="171">
        <v>217456.80000000002</v>
      </c>
      <c r="F25" s="171">
        <v>217456.80000000002</v>
      </c>
      <c r="G25" s="171">
        <v>217456.80000000002</v>
      </c>
      <c r="H25" s="171">
        <v>0</v>
      </c>
      <c r="I25" s="171">
        <v>0</v>
      </c>
      <c r="J25" s="172">
        <v>111446.61</v>
      </c>
      <c r="K25" s="172">
        <f>D25*'Page d''accueil'!$F$15</f>
        <v>67955.25</v>
      </c>
      <c r="L25" s="172">
        <f>D25*('Page d''accueil'!$F$17+1)</f>
        <v>279160.16699999996</v>
      </c>
      <c r="M25" s="172">
        <f>E25*(1+'Page d''accueil'!$F$17)</f>
        <v>223328.1336</v>
      </c>
      <c r="N25" s="172">
        <f>F25*(1+'Page d''accueil'!$F$17)</f>
        <v>223328.1336</v>
      </c>
      <c r="O25" s="172">
        <f>P25/2</f>
        <v>139580.08349999998</v>
      </c>
      <c r="P25" s="172">
        <v>279160.16699999996</v>
      </c>
      <c r="Q25" s="172">
        <f>G25*(1+'Page d''accueil'!$F$17)</f>
        <v>223328.1336</v>
      </c>
      <c r="R25" s="172">
        <f>H25*(1+'Page d''accueil'!$F$17)</f>
        <v>0</v>
      </c>
      <c r="S25" s="172">
        <f>I25*(1+'Page d''accueil'!$F$17)</f>
        <v>0</v>
      </c>
      <c r="T25" s="172">
        <f>L25*'Page d''accueil'!$F$14</f>
        <v>44665.626719999993</v>
      </c>
      <c r="U25" s="172">
        <f>L25*'Page d''accueil'!$F$15</f>
        <v>69790.041749999989</v>
      </c>
      <c r="V25" s="172">
        <f>L25*('Page d''accueil'!$F$17+1)</f>
        <v>286697.49150899996</v>
      </c>
      <c r="W25" s="172">
        <f>M25*(1+'Page d''accueil'!$F$17)</f>
        <v>229357.99320719999</v>
      </c>
      <c r="X25" s="172">
        <f>N25*(1+'Page d''accueil'!$F$17)</f>
        <v>229357.99320719999</v>
      </c>
      <c r="Y25" s="172">
        <f>Q25*(1+'Page d''accueil'!$F$17)</f>
        <v>229357.99320719999</v>
      </c>
      <c r="Z25" s="172">
        <f>AA25/2</f>
        <v>143348.74575449998</v>
      </c>
      <c r="AA25" s="172">
        <v>286697.49150899996</v>
      </c>
      <c r="AB25" s="172">
        <f>R25*(1+'Page d''accueil'!$F$17)</f>
        <v>0</v>
      </c>
      <c r="AC25" s="172">
        <f>S25*(1+'Page d''accueil'!$F$17)</f>
        <v>0</v>
      </c>
      <c r="AD25" s="172">
        <f>V25*'Page d''accueil'!$F$14</f>
        <v>45871.598641439996</v>
      </c>
      <c r="AE25" s="172">
        <f>V25*'Page d''accueil'!$F$15</f>
        <v>71674.372877249989</v>
      </c>
      <c r="AF25" s="172">
        <f>V25*('Page d''accueil'!$F$17+1)</f>
        <v>294438.32377974293</v>
      </c>
      <c r="AG25" s="172">
        <f>W25*(1+'Page d''accueil'!$F$17)</f>
        <v>235550.65902379437</v>
      </c>
      <c r="AH25" s="172">
        <f>X25*(1+'Page d''accueil'!$F$17)</f>
        <v>235550.65902379437</v>
      </c>
      <c r="AI25" s="172">
        <f>Y25*(1+'Page d''accueil'!$F$17)</f>
        <v>235550.65902379437</v>
      </c>
      <c r="AJ25" s="172">
        <f t="shared" si="5"/>
        <v>147219.16188987147</v>
      </c>
      <c r="AK25" s="172">
        <f>AA25*('Page d''accueil'!$F$17+1)</f>
        <v>294438.32377974293</v>
      </c>
      <c r="AL25" s="172">
        <f>AB25*(1+'Page d''accueil'!$F$17)</f>
        <v>0</v>
      </c>
      <c r="AM25" s="172">
        <f>AC25*(1+'Page d''accueil'!$F$17)</f>
        <v>0</v>
      </c>
      <c r="AN25" s="172">
        <f>AF25*'Page d''accueil'!$F$14</f>
        <v>47110.131804758872</v>
      </c>
      <c r="AO25" s="172">
        <f>AF25*'Page d''accueil'!$F$15</f>
        <v>73609.580944935733</v>
      </c>
      <c r="AP25" s="172">
        <f>AF25*('Page d''accueil'!$F$17+1)</f>
        <v>302388.15852179594</v>
      </c>
      <c r="AQ25" s="172">
        <f>AG25*(1+'Page d''accueil'!$F$17)</f>
        <v>241910.5268174368</v>
      </c>
      <c r="AR25" s="172">
        <f>AH25*(1+'Page d''accueil'!$F$17)</f>
        <v>241910.5268174368</v>
      </c>
      <c r="AS25" s="172">
        <f>AI25*(1+'Page d''accueil'!$F$17)</f>
        <v>241910.5268174368</v>
      </c>
      <c r="AT25" s="172">
        <f>AU25/2</f>
        <v>151194.07926089797</v>
      </c>
      <c r="AU25" s="172">
        <f>AK25*('Page d''accueil'!$F$17+1)</f>
        <v>302388.15852179594</v>
      </c>
      <c r="AV25" s="172">
        <f>AL25*(1+'Page d''accueil'!$F$17)</f>
        <v>0</v>
      </c>
      <c r="AW25" s="172">
        <f>AM25*(1+'Page d''accueil'!$F$17)</f>
        <v>0</v>
      </c>
      <c r="AX25" s="172">
        <f>AP25*'Page d''accueil'!$F$14</f>
        <v>48382.105363487353</v>
      </c>
      <c r="AY25" s="172">
        <f>AP25*'Page d''accueil'!$F$15</f>
        <v>75597.039630448984</v>
      </c>
    </row>
    <row r="26" spans="1:51" s="5" customFormat="1" ht="12" customHeight="1">
      <c r="A26" s="169">
        <v>23</v>
      </c>
      <c r="B26" s="170" t="s">
        <v>292</v>
      </c>
      <c r="C26" s="170" t="s">
        <v>296</v>
      </c>
      <c r="D26" s="171">
        <v>475694</v>
      </c>
      <c r="E26" s="171">
        <v>380555.2</v>
      </c>
      <c r="F26" s="171">
        <v>380555.2</v>
      </c>
      <c r="G26" s="171">
        <v>380555.2</v>
      </c>
      <c r="H26" s="171">
        <v>0</v>
      </c>
      <c r="I26" s="171">
        <v>380555.2</v>
      </c>
      <c r="J26" s="172">
        <v>195034.53999999998</v>
      </c>
      <c r="K26" s="172">
        <f>D26*'Page d''accueil'!$F$15</f>
        <v>118923.5</v>
      </c>
      <c r="L26" s="172">
        <f>D26*('Page d''accueil'!$F$17+1)</f>
        <v>488537.73799999995</v>
      </c>
      <c r="M26" s="172">
        <f>E26*(1+'Page d''accueil'!$F$17)</f>
        <v>390830.19039999996</v>
      </c>
      <c r="N26" s="172">
        <f>F26*(1+'Page d''accueil'!$F$17)</f>
        <v>390830.19039999996</v>
      </c>
      <c r="O26" s="172"/>
      <c r="P26" s="172">
        <v>488537.73799999995</v>
      </c>
      <c r="Q26" s="172">
        <f>G26*(1+'Page d''accueil'!$F$17)</f>
        <v>390830.19039999996</v>
      </c>
      <c r="R26" s="172">
        <f>H26*(1+'Page d''accueil'!$F$17)</f>
        <v>0</v>
      </c>
      <c r="S26" s="172">
        <f>I26*(1+'Page d''accueil'!$F$17)</f>
        <v>390830.19039999996</v>
      </c>
      <c r="T26" s="172">
        <f>L26*'Page d''accueil'!$F$14</f>
        <v>78166.038079999998</v>
      </c>
      <c r="U26" s="172">
        <f>L26*'Page d''accueil'!$F$15</f>
        <v>122134.43449999999</v>
      </c>
      <c r="V26" s="172">
        <f>L26*('Page d''accueil'!$F$17+1)</f>
        <v>501728.25692599989</v>
      </c>
      <c r="W26" s="172">
        <f>M26*(1+'Page d''accueil'!$F$17)</f>
        <v>401382.60554079991</v>
      </c>
      <c r="X26" s="172">
        <f>N26*(1+'Page d''accueil'!$F$17)</f>
        <v>401382.60554079991</v>
      </c>
      <c r="Y26" s="172">
        <f>Q26*(1+'Page d''accueil'!$F$17)</f>
        <v>401382.60554079991</v>
      </c>
      <c r="Z26" s="172"/>
      <c r="AA26" s="172">
        <v>501728.25692599989</v>
      </c>
      <c r="AB26" s="172">
        <f>R26*(1+'Page d''accueil'!$F$17)</f>
        <v>0</v>
      </c>
      <c r="AC26" s="172">
        <f>S26*(1+'Page d''accueil'!$F$17)</f>
        <v>401382.60554079991</v>
      </c>
      <c r="AD26" s="172">
        <f>V26*'Page d''accueil'!$F$14</f>
        <v>80276.521108159985</v>
      </c>
      <c r="AE26" s="172">
        <f>V26*'Page d''accueil'!$F$15</f>
        <v>125432.06423149997</v>
      </c>
      <c r="AF26" s="172">
        <f>V26*('Page d''accueil'!$F$17+1)</f>
        <v>515274.91986300185</v>
      </c>
      <c r="AG26" s="172">
        <f>W26*(1+'Page d''accueil'!$F$17)</f>
        <v>412219.93589040148</v>
      </c>
      <c r="AH26" s="172">
        <f>X26*(1+'Page d''accueil'!$F$17)</f>
        <v>412219.93589040148</v>
      </c>
      <c r="AI26" s="172">
        <f>Y26*(1+'Page d''accueil'!$F$17)</f>
        <v>412219.93589040148</v>
      </c>
      <c r="AJ26" s="172"/>
      <c r="AK26" s="172">
        <f>AA26*('Page d''accueil'!$F$17+1)</f>
        <v>515274.91986300185</v>
      </c>
      <c r="AL26" s="172">
        <f>AB26*(1+'Page d''accueil'!$F$17)</f>
        <v>0</v>
      </c>
      <c r="AM26" s="172">
        <f>AC26*(1+'Page d''accueil'!$F$17)</f>
        <v>412219.93589040148</v>
      </c>
      <c r="AN26" s="172">
        <f>AF26*'Page d''accueil'!$F$14</f>
        <v>82443.987178080293</v>
      </c>
      <c r="AO26" s="172">
        <f>AF26*'Page d''accueil'!$F$15</f>
        <v>128818.72996575046</v>
      </c>
      <c r="AP26" s="172">
        <f>AF26*('Page d''accueil'!$F$17+1)</f>
        <v>529187.34269930283</v>
      </c>
      <c r="AQ26" s="172">
        <f>AG26*(1+'Page d''accueil'!$F$17)</f>
        <v>423349.87415944226</v>
      </c>
      <c r="AR26" s="172">
        <f>AH26*(1+'Page d''accueil'!$F$17)</f>
        <v>423349.87415944226</v>
      </c>
      <c r="AS26" s="172">
        <f>AI26*(1+'Page d''accueil'!$F$17)</f>
        <v>423349.87415944226</v>
      </c>
      <c r="AT26" s="172"/>
      <c r="AU26" s="172">
        <f>AK26*('Page d''accueil'!$F$17+1)</f>
        <v>529187.34269930283</v>
      </c>
      <c r="AV26" s="172">
        <f>AL26*(1+'Page d''accueil'!$F$17)</f>
        <v>0</v>
      </c>
      <c r="AW26" s="172">
        <f>AM26*(1+'Page d''accueil'!$F$17)</f>
        <v>423349.87415944226</v>
      </c>
      <c r="AX26" s="172">
        <f>AP26*'Page d''accueil'!$F$14</f>
        <v>84669.974831888452</v>
      </c>
      <c r="AY26" s="172">
        <f>AP26*'Page d''accueil'!$F$15</f>
        <v>132296.83567482571</v>
      </c>
    </row>
    <row r="27" spans="1:51" s="5" customFormat="1" ht="12" customHeight="1">
      <c r="A27" s="169">
        <v>24</v>
      </c>
      <c r="B27" s="170" t="s">
        <v>292</v>
      </c>
      <c r="C27" s="170" t="s">
        <v>297</v>
      </c>
      <c r="D27" s="171">
        <v>316142</v>
      </c>
      <c r="E27" s="171">
        <v>252913.6</v>
      </c>
      <c r="F27" s="171">
        <v>252913.6</v>
      </c>
      <c r="G27" s="171">
        <v>0</v>
      </c>
      <c r="H27" s="171">
        <v>0</v>
      </c>
      <c r="I27" s="171">
        <v>0</v>
      </c>
      <c r="J27" s="172">
        <v>129618.21999999999</v>
      </c>
      <c r="K27" s="172">
        <f>D27*'Page d''accueil'!$F$15</f>
        <v>79035.5</v>
      </c>
      <c r="L27" s="172">
        <f>D27*('Page d''accueil'!$F$17+1)</f>
        <v>324677.83399999997</v>
      </c>
      <c r="M27" s="172">
        <f>E27*(1+'Page d''accueil'!$F$17)</f>
        <v>259742.26719999997</v>
      </c>
      <c r="N27" s="172">
        <f>F27*(1+'Page d''accueil'!$F$17)</f>
        <v>259742.26719999997</v>
      </c>
      <c r="O27" s="172"/>
      <c r="P27" s="172">
        <v>324677.83399999997</v>
      </c>
      <c r="Q27" s="172">
        <f>G27*(1+'Page d''accueil'!$F$17)</f>
        <v>0</v>
      </c>
      <c r="R27" s="172">
        <f>H27*(1+'Page d''accueil'!$F$17)</f>
        <v>0</v>
      </c>
      <c r="S27" s="172">
        <f>I27*(1+'Page d''accueil'!$F$17)</f>
        <v>0</v>
      </c>
      <c r="T27" s="172">
        <f>L27*'Page d''accueil'!$F$14</f>
        <v>51948.453439999997</v>
      </c>
      <c r="U27" s="172">
        <f>L27*'Page d''accueil'!$F$15</f>
        <v>81169.458499999993</v>
      </c>
      <c r="V27" s="172">
        <f>L27*('Page d''accueil'!$F$17+1)</f>
        <v>333444.13551799994</v>
      </c>
      <c r="W27" s="172">
        <f>M27*(1+'Page d''accueil'!$F$17)</f>
        <v>266755.30841439997</v>
      </c>
      <c r="X27" s="172">
        <f>N27*(1+'Page d''accueil'!$F$17)</f>
        <v>266755.30841439997</v>
      </c>
      <c r="Y27" s="172">
        <f>Q27*(1+'Page d''accueil'!$F$17)</f>
        <v>0</v>
      </c>
      <c r="Z27" s="172"/>
      <c r="AA27" s="172">
        <v>333444.13551799994</v>
      </c>
      <c r="AB27" s="172">
        <f>R27*(1+'Page d''accueil'!$F$17)</f>
        <v>0</v>
      </c>
      <c r="AC27" s="172">
        <f>S27*(1+'Page d''accueil'!$F$17)</f>
        <v>0</v>
      </c>
      <c r="AD27" s="172">
        <f>V27*'Page d''accueil'!$F$14</f>
        <v>53351.06168287999</v>
      </c>
      <c r="AE27" s="172">
        <f>V27*'Page d''accueil'!$F$15</f>
        <v>83361.033879499984</v>
      </c>
      <c r="AF27" s="172">
        <f>V27*('Page d''accueil'!$F$17+1)</f>
        <v>342447.1271769859</v>
      </c>
      <c r="AG27" s="172">
        <f>W27*(1+'Page d''accueil'!$F$17)</f>
        <v>273957.70174158877</v>
      </c>
      <c r="AH27" s="172">
        <f>X27*(1+'Page d''accueil'!$F$17)</f>
        <v>273957.70174158877</v>
      </c>
      <c r="AI27" s="172">
        <f>Y27*(1+'Page d''accueil'!$F$17)</f>
        <v>0</v>
      </c>
      <c r="AJ27" s="172"/>
      <c r="AK27" s="172">
        <f>AA27*('Page d''accueil'!$F$17+1)</f>
        <v>342447.1271769859</v>
      </c>
      <c r="AL27" s="172">
        <f>AB27*(1+'Page d''accueil'!$F$17)</f>
        <v>0</v>
      </c>
      <c r="AM27" s="172">
        <f>AC27*(1+'Page d''accueil'!$F$17)</f>
        <v>0</v>
      </c>
      <c r="AN27" s="172">
        <f>AF27*'Page d''accueil'!$F$14</f>
        <v>54791.540348317743</v>
      </c>
      <c r="AO27" s="172">
        <f>AF27*'Page d''accueil'!$F$15</f>
        <v>85611.781794246475</v>
      </c>
      <c r="AP27" s="172">
        <f>AF27*('Page d''accueil'!$F$17+1)</f>
        <v>351693.19961076451</v>
      </c>
      <c r="AQ27" s="172">
        <f>AG27*(1+'Page d''accueil'!$F$17)</f>
        <v>281354.55968861165</v>
      </c>
      <c r="AR27" s="172">
        <f>AH27*(1+'Page d''accueil'!$F$17)</f>
        <v>281354.55968861165</v>
      </c>
      <c r="AS27" s="172">
        <f>AI27*(1+'Page d''accueil'!$F$17)</f>
        <v>0</v>
      </c>
      <c r="AT27" s="172"/>
      <c r="AU27" s="172">
        <f>AK27*('Page d''accueil'!$F$17+1)</f>
        <v>351693.19961076451</v>
      </c>
      <c r="AV27" s="172">
        <f>AL27*(1+'Page d''accueil'!$F$17)</f>
        <v>0</v>
      </c>
      <c r="AW27" s="172">
        <f>AM27*(1+'Page d''accueil'!$F$17)</f>
        <v>0</v>
      </c>
      <c r="AX27" s="172">
        <f>AP27*'Page d''accueil'!$F$14</f>
        <v>56270.911937722325</v>
      </c>
      <c r="AY27" s="172">
        <f>AP27*'Page d''accueil'!$F$15</f>
        <v>87923.299902691127</v>
      </c>
    </row>
    <row r="28" spans="1:51" s="5" customFormat="1" ht="12" customHeight="1">
      <c r="A28" s="169">
        <v>25</v>
      </c>
      <c r="B28" s="170" t="s">
        <v>298</v>
      </c>
      <c r="C28" s="170" t="s">
        <v>299</v>
      </c>
      <c r="D28" s="171">
        <v>112149</v>
      </c>
      <c r="E28" s="171">
        <v>0</v>
      </c>
      <c r="F28" s="171">
        <v>0</v>
      </c>
      <c r="G28" s="171">
        <v>89719.200000000012</v>
      </c>
      <c r="H28" s="171">
        <v>0</v>
      </c>
      <c r="I28" s="171">
        <v>28037.25</v>
      </c>
      <c r="J28" s="172">
        <v>45981.09</v>
      </c>
      <c r="K28" s="172">
        <f>D28*'Page d''accueil'!$F$15</f>
        <v>28037.25</v>
      </c>
      <c r="L28" s="172">
        <f>D28*('Page d''accueil'!$F$17+1)</f>
        <v>115177.02299999999</v>
      </c>
      <c r="M28" s="172">
        <f>E28*(1+'Page d''accueil'!$F$17)</f>
        <v>0</v>
      </c>
      <c r="N28" s="172">
        <f>F28*(1+'Page d''accueil'!$F$17)</f>
        <v>0</v>
      </c>
      <c r="O28" s="172"/>
      <c r="P28" s="172">
        <v>115177.02299999999</v>
      </c>
      <c r="Q28" s="172">
        <f>G28*(1+'Page d''accueil'!$F$17)</f>
        <v>92141.618400000007</v>
      </c>
      <c r="R28" s="172">
        <f>H28*(1+'Page d''accueil'!$F$17)</f>
        <v>0</v>
      </c>
      <c r="S28" s="172">
        <f>I28*(1+'Page d''accueil'!$F$17)</f>
        <v>28794.255749999997</v>
      </c>
      <c r="T28" s="172">
        <f>L28*'Page d''accueil'!$F$14</f>
        <v>18428.323679999998</v>
      </c>
      <c r="U28" s="172">
        <f>L28*'Page d''accueil'!$F$15</f>
        <v>28794.255749999997</v>
      </c>
      <c r="V28" s="172">
        <f>L28*('Page d''accueil'!$F$17+1)</f>
        <v>118286.80262099998</v>
      </c>
      <c r="W28" s="172">
        <f>M28*(1+'Page d''accueil'!$F$17)</f>
        <v>0</v>
      </c>
      <c r="X28" s="172">
        <f>N28*(1+'Page d''accueil'!$F$17)</f>
        <v>0</v>
      </c>
      <c r="Y28" s="172">
        <f>Q28*(1+'Page d''accueil'!$F$17)</f>
        <v>94629.442096800005</v>
      </c>
      <c r="Z28" s="172"/>
      <c r="AA28" s="172">
        <v>118286.80262099998</v>
      </c>
      <c r="AB28" s="172">
        <f>R28*(1+'Page d''accueil'!$F$17)</f>
        <v>0</v>
      </c>
      <c r="AC28" s="172">
        <f>S28*(1+'Page d''accueil'!$F$17)</f>
        <v>29571.700655249995</v>
      </c>
      <c r="AD28" s="172">
        <f>V28*'Page d''accueil'!$F$14</f>
        <v>18925.888419359999</v>
      </c>
      <c r="AE28" s="172">
        <f>V28*'Page d''accueil'!$F$15</f>
        <v>29571.700655249995</v>
      </c>
      <c r="AF28" s="172">
        <f>V28*('Page d''accueil'!$F$17+1)</f>
        <v>121480.54629176696</v>
      </c>
      <c r="AG28" s="172">
        <f>W28*(1+'Page d''accueil'!$F$17)</f>
        <v>0</v>
      </c>
      <c r="AH28" s="172">
        <f>X28*(1+'Page d''accueil'!$F$17)</f>
        <v>0</v>
      </c>
      <c r="AI28" s="172">
        <f>Y28*(1+'Page d''accueil'!$F$17)</f>
        <v>97184.437033413604</v>
      </c>
      <c r="AJ28" s="172"/>
      <c r="AK28" s="172">
        <f>AA28*('Page d''accueil'!$F$17+1)</f>
        <v>121480.54629176696</v>
      </c>
      <c r="AL28" s="172">
        <f>AB28*(1+'Page d''accueil'!$F$17)</f>
        <v>0</v>
      </c>
      <c r="AM28" s="172">
        <f>AC28*(1+'Page d''accueil'!$F$17)</f>
        <v>30370.136572941741</v>
      </c>
      <c r="AN28" s="172">
        <f>AF28*'Page d''accueil'!$F$14</f>
        <v>19436.887406682716</v>
      </c>
      <c r="AO28" s="172">
        <f>AF28*'Page d''accueil'!$F$15</f>
        <v>30370.136572941741</v>
      </c>
      <c r="AP28" s="172">
        <f>AF28*('Page d''accueil'!$F$17+1)</f>
        <v>124760.52104164466</v>
      </c>
      <c r="AQ28" s="172">
        <f>AG28*(1+'Page d''accueil'!$F$17)</f>
        <v>0</v>
      </c>
      <c r="AR28" s="172">
        <f>AH28*(1+'Page d''accueil'!$F$17)</f>
        <v>0</v>
      </c>
      <c r="AS28" s="172">
        <f>AI28*(1+'Page d''accueil'!$F$17)</f>
        <v>99808.416833315758</v>
      </c>
      <c r="AT28" s="172"/>
      <c r="AU28" s="172">
        <f>AK28*('Page d''accueil'!$F$17+1)</f>
        <v>124760.52104164466</v>
      </c>
      <c r="AV28" s="172">
        <f>AL28*(1+'Page d''accueil'!$F$17)</f>
        <v>0</v>
      </c>
      <c r="AW28" s="172">
        <f>AM28*(1+'Page d''accueil'!$F$17)</f>
        <v>31190.130260411166</v>
      </c>
      <c r="AX28" s="172">
        <f>AP28*'Page d''accueil'!$F$14</f>
        <v>19961.683366663146</v>
      </c>
      <c r="AY28" s="172">
        <f>AP28*'Page d''accueil'!$F$15</f>
        <v>31190.130260411166</v>
      </c>
    </row>
    <row r="29" spans="1:51" s="5" customFormat="1" ht="12" customHeight="1">
      <c r="A29" s="169">
        <v>26</v>
      </c>
      <c r="B29" s="170" t="s">
        <v>298</v>
      </c>
      <c r="C29" s="170" t="s">
        <v>300</v>
      </c>
      <c r="D29" s="171">
        <v>369303</v>
      </c>
      <c r="E29" s="171">
        <v>0</v>
      </c>
      <c r="F29" s="171">
        <v>0</v>
      </c>
      <c r="G29" s="171">
        <v>0</v>
      </c>
      <c r="H29" s="171">
        <v>0</v>
      </c>
      <c r="I29" s="171">
        <v>0</v>
      </c>
      <c r="J29" s="172">
        <v>0</v>
      </c>
      <c r="K29" s="172">
        <f>D29*'Page d''accueil'!$F$15</f>
        <v>92325.75</v>
      </c>
      <c r="L29" s="172">
        <f>D29*('Page d''accueil'!$F$17+1)</f>
        <v>379274.18099999998</v>
      </c>
      <c r="M29" s="172">
        <f>E29*(1+'Page d''accueil'!$F$17)</f>
        <v>0</v>
      </c>
      <c r="N29" s="172">
        <f>F29*(1+'Page d''accueil'!$F$17)</f>
        <v>0</v>
      </c>
      <c r="O29" s="172"/>
      <c r="P29" s="172">
        <v>379274.18099999998</v>
      </c>
      <c r="Q29" s="172">
        <f>G29*(1+'Page d''accueil'!$F$17)</f>
        <v>0</v>
      </c>
      <c r="R29" s="172">
        <f>H29*(1+'Page d''accueil'!$F$17)</f>
        <v>0</v>
      </c>
      <c r="S29" s="172">
        <f>I29*(1+'Page d''accueil'!$F$17)</f>
        <v>0</v>
      </c>
      <c r="T29" s="172">
        <f>L29*'Page d''accueil'!$F$14</f>
        <v>60683.86896</v>
      </c>
      <c r="U29" s="172">
        <f>L29*'Page d''accueil'!$F$15</f>
        <v>94818.545249999996</v>
      </c>
      <c r="V29" s="172">
        <f>L29*('Page d''accueil'!$F$17+1)</f>
        <v>389514.58388699993</v>
      </c>
      <c r="W29" s="172">
        <f>M29*(1+'Page d''accueil'!$F$17)</f>
        <v>0</v>
      </c>
      <c r="X29" s="172">
        <f>N29*(1+'Page d''accueil'!$F$17)</f>
        <v>0</v>
      </c>
      <c r="Y29" s="172">
        <f>Q29*(1+'Page d''accueil'!$F$17)</f>
        <v>0</v>
      </c>
      <c r="Z29" s="172"/>
      <c r="AA29" s="172">
        <v>389514.58388699993</v>
      </c>
      <c r="AB29" s="172">
        <f>R29*(1+'Page d''accueil'!$F$17)</f>
        <v>0</v>
      </c>
      <c r="AC29" s="172">
        <f>S29*(1+'Page d''accueil'!$F$17)</f>
        <v>0</v>
      </c>
      <c r="AD29" s="172">
        <f>V29*'Page d''accueil'!$F$14</f>
        <v>62322.33342191999</v>
      </c>
      <c r="AE29" s="172">
        <f>V29*'Page d''accueil'!$F$15</f>
        <v>97378.645971749982</v>
      </c>
      <c r="AF29" s="172">
        <f>V29*('Page d''accueil'!$F$17+1)</f>
        <v>400031.47765194887</v>
      </c>
      <c r="AG29" s="172">
        <f>W29*(1+'Page d''accueil'!$F$17)</f>
        <v>0</v>
      </c>
      <c r="AH29" s="172">
        <f>X29*(1+'Page d''accueil'!$F$17)</f>
        <v>0</v>
      </c>
      <c r="AI29" s="172">
        <f>Y29*(1+'Page d''accueil'!$F$17)</f>
        <v>0</v>
      </c>
      <c r="AJ29" s="172"/>
      <c r="AK29" s="172">
        <f>AA29*('Page d''accueil'!$F$17+1)</f>
        <v>400031.47765194887</v>
      </c>
      <c r="AL29" s="172">
        <f>AB29*(1+'Page d''accueil'!$F$17)</f>
        <v>0</v>
      </c>
      <c r="AM29" s="172">
        <f>AC29*(1+'Page d''accueil'!$F$17)</f>
        <v>0</v>
      </c>
      <c r="AN29" s="172">
        <f>AF29*'Page d''accueil'!$F$14</f>
        <v>64005.036424311817</v>
      </c>
      <c r="AO29" s="172">
        <f>AF29*'Page d''accueil'!$F$15</f>
        <v>100007.86941298722</v>
      </c>
      <c r="AP29" s="172">
        <f>AF29*('Page d''accueil'!$F$17+1)</f>
        <v>410832.32754855143</v>
      </c>
      <c r="AQ29" s="172">
        <f>AG29*(1+'Page d''accueil'!$F$17)</f>
        <v>0</v>
      </c>
      <c r="AR29" s="172">
        <f>AH29*(1+'Page d''accueil'!$F$17)</f>
        <v>0</v>
      </c>
      <c r="AS29" s="172">
        <f>AI29*(1+'Page d''accueil'!$F$17)</f>
        <v>0</v>
      </c>
      <c r="AT29" s="172"/>
      <c r="AU29" s="172">
        <f>AK29*('Page d''accueil'!$F$17+1)</f>
        <v>410832.32754855143</v>
      </c>
      <c r="AV29" s="172">
        <f>AL29*(1+'Page d''accueil'!$F$17)</f>
        <v>0</v>
      </c>
      <c r="AW29" s="172">
        <f>AM29*(1+'Page d''accueil'!$F$17)</f>
        <v>0</v>
      </c>
      <c r="AX29" s="172">
        <f>AP29*'Page d''accueil'!$F$14</f>
        <v>65733.17240776823</v>
      </c>
      <c r="AY29" s="172">
        <f>AP29*'Page d''accueil'!$F$15</f>
        <v>102708.08188713786</v>
      </c>
    </row>
    <row r="30" spans="1:51" s="5" customFormat="1" ht="12" customHeight="1">
      <c r="A30" s="169">
        <v>27</v>
      </c>
      <c r="B30" s="170" t="s">
        <v>298</v>
      </c>
      <c r="C30" s="170" t="s">
        <v>301</v>
      </c>
      <c r="D30" s="171">
        <v>210420</v>
      </c>
      <c r="E30" s="171">
        <v>168336</v>
      </c>
      <c r="F30" s="171">
        <v>168336</v>
      </c>
      <c r="G30" s="171">
        <v>168336</v>
      </c>
      <c r="H30" s="171">
        <v>0</v>
      </c>
      <c r="I30" s="171">
        <v>168336</v>
      </c>
      <c r="J30" s="172">
        <v>86272.2</v>
      </c>
      <c r="K30" s="172">
        <f>D30*'Page d''accueil'!$F$15</f>
        <v>52605</v>
      </c>
      <c r="L30" s="172">
        <f>D30*('Page d''accueil'!$F$17+1)</f>
        <v>216101.33999999997</v>
      </c>
      <c r="M30" s="172">
        <f>E30*(1+'Page d''accueil'!$F$17)</f>
        <v>172881.07199999999</v>
      </c>
      <c r="N30" s="172">
        <f>F30*(1+'Page d''accueil'!$F$17)</f>
        <v>172881.07199999999</v>
      </c>
      <c r="O30" s="172"/>
      <c r="P30" s="172">
        <v>216101.33999999997</v>
      </c>
      <c r="Q30" s="172">
        <f>G30*(1+'Page d''accueil'!$F$17)</f>
        <v>172881.07199999999</v>
      </c>
      <c r="R30" s="172">
        <f>H30*(1+'Page d''accueil'!$F$17)</f>
        <v>0</v>
      </c>
      <c r="S30" s="172">
        <f>I30*(1+'Page d''accueil'!$F$17)</f>
        <v>172881.07199999999</v>
      </c>
      <c r="T30" s="172">
        <f>L30*'Page d''accueil'!$F$14</f>
        <v>34576.214399999997</v>
      </c>
      <c r="U30" s="172">
        <f>L30*'Page d''accueil'!$F$15</f>
        <v>54025.334999999992</v>
      </c>
      <c r="V30" s="172">
        <f>L30*('Page d''accueil'!$F$17+1)</f>
        <v>221936.07617999995</v>
      </c>
      <c r="W30" s="172">
        <f>M30*(1+'Page d''accueil'!$F$17)</f>
        <v>177548.86094399996</v>
      </c>
      <c r="X30" s="172">
        <f>N30*(1+'Page d''accueil'!$F$17)</f>
        <v>177548.86094399996</v>
      </c>
      <c r="Y30" s="172">
        <f>Q30*(1+'Page d''accueil'!$F$17)</f>
        <v>177548.86094399996</v>
      </c>
      <c r="Z30" s="172"/>
      <c r="AA30" s="172">
        <v>221936.07617999995</v>
      </c>
      <c r="AB30" s="172">
        <f>R30*(1+'Page d''accueil'!$F$17)</f>
        <v>0</v>
      </c>
      <c r="AC30" s="172">
        <f>S30*(1+'Page d''accueil'!$F$17)</f>
        <v>177548.86094399996</v>
      </c>
      <c r="AD30" s="172">
        <f>V30*'Page d''accueil'!$F$14</f>
        <v>35509.772188799994</v>
      </c>
      <c r="AE30" s="172">
        <f>V30*'Page d''accueil'!$F$15</f>
        <v>55484.019044999986</v>
      </c>
      <c r="AF30" s="172">
        <f>V30*('Page d''accueil'!$F$17+1)</f>
        <v>227928.35023685993</v>
      </c>
      <c r="AG30" s="172">
        <f>W30*(1+'Page d''accueil'!$F$17)</f>
        <v>182342.68018948793</v>
      </c>
      <c r="AH30" s="172">
        <f>X30*(1+'Page d''accueil'!$F$17)</f>
        <v>182342.68018948793</v>
      </c>
      <c r="AI30" s="172">
        <f>Y30*(1+'Page d''accueil'!$F$17)</f>
        <v>182342.68018948793</v>
      </c>
      <c r="AJ30" s="172"/>
      <c r="AK30" s="172">
        <f>AA30*('Page d''accueil'!$F$17+1)</f>
        <v>227928.35023685993</v>
      </c>
      <c r="AL30" s="172">
        <f>AB30*(1+'Page d''accueil'!$F$17)</f>
        <v>0</v>
      </c>
      <c r="AM30" s="172">
        <f>AC30*(1+'Page d''accueil'!$F$17)</f>
        <v>182342.68018948793</v>
      </c>
      <c r="AN30" s="172">
        <f>AF30*'Page d''accueil'!$F$14</f>
        <v>36468.536037897589</v>
      </c>
      <c r="AO30" s="172">
        <f>AF30*'Page d''accueil'!$F$15</f>
        <v>56982.087559214982</v>
      </c>
      <c r="AP30" s="172">
        <f>AF30*('Page d''accueil'!$F$17+1)</f>
        <v>234082.41569325514</v>
      </c>
      <c r="AQ30" s="172">
        <f>AG30*(1+'Page d''accueil'!$F$17)</f>
        <v>187265.93255460408</v>
      </c>
      <c r="AR30" s="172">
        <f>AH30*(1+'Page d''accueil'!$F$17)</f>
        <v>187265.93255460408</v>
      </c>
      <c r="AS30" s="172">
        <f>AI30*(1+'Page d''accueil'!$F$17)</f>
        <v>187265.93255460408</v>
      </c>
      <c r="AT30" s="172"/>
      <c r="AU30" s="172">
        <f>AK30*('Page d''accueil'!$F$17+1)</f>
        <v>234082.41569325514</v>
      </c>
      <c r="AV30" s="172">
        <f>AL30*(1+'Page d''accueil'!$F$17)</f>
        <v>0</v>
      </c>
      <c r="AW30" s="172">
        <f>AM30*(1+'Page d''accueil'!$F$17)</f>
        <v>187265.93255460408</v>
      </c>
      <c r="AX30" s="172">
        <f>AP30*'Page d''accueil'!$F$14</f>
        <v>37453.186510920823</v>
      </c>
      <c r="AY30" s="172">
        <f>AP30*'Page d''accueil'!$F$15</f>
        <v>58520.603923313785</v>
      </c>
    </row>
    <row r="31" spans="1:51" s="5" customFormat="1" ht="12" customHeight="1">
      <c r="A31" s="169">
        <v>28</v>
      </c>
      <c r="B31" s="170" t="s">
        <v>298</v>
      </c>
      <c r="C31" s="170" t="s">
        <v>302</v>
      </c>
      <c r="D31" s="171">
        <v>341757</v>
      </c>
      <c r="E31" s="171">
        <v>273405.60000000003</v>
      </c>
      <c r="F31" s="171">
        <v>273405.60000000003</v>
      </c>
      <c r="G31" s="171">
        <v>273405.60000000003</v>
      </c>
      <c r="H31" s="171">
        <v>0</v>
      </c>
      <c r="I31" s="171">
        <v>0</v>
      </c>
      <c r="J31" s="172">
        <v>0</v>
      </c>
      <c r="K31" s="172">
        <f>D31*'Page d''accueil'!$F$15</f>
        <v>85439.25</v>
      </c>
      <c r="L31" s="172">
        <f>D31*('Page d''accueil'!$F$17+1)</f>
        <v>350984.43899999995</v>
      </c>
      <c r="M31" s="172">
        <f>E31*(1+'Page d''accueil'!$F$17)</f>
        <v>280787.55119999999</v>
      </c>
      <c r="N31" s="172">
        <f>F31*(1+'Page d''accueil'!$F$17)</f>
        <v>280787.55119999999</v>
      </c>
      <c r="O31" s="172"/>
      <c r="P31" s="172">
        <v>350984.43899999995</v>
      </c>
      <c r="Q31" s="172">
        <f>G31*(1+'Page d''accueil'!$F$17)</f>
        <v>280787.55119999999</v>
      </c>
      <c r="R31" s="172">
        <f>H31*(1+'Page d''accueil'!$F$17)</f>
        <v>0</v>
      </c>
      <c r="S31" s="172">
        <f>I31*(1+'Page d''accueil'!$F$17)</f>
        <v>0</v>
      </c>
      <c r="T31" s="172">
        <f>L31*'Page d''accueil'!$F$14</f>
        <v>56157.510239999996</v>
      </c>
      <c r="U31" s="172">
        <f>L31*'Page d''accueil'!$F$15</f>
        <v>87746.109749999989</v>
      </c>
      <c r="V31" s="172">
        <f>L31*('Page d''accueil'!$F$17+1)</f>
        <v>360461.0188529999</v>
      </c>
      <c r="W31" s="172">
        <f>M31*(1+'Page d''accueil'!$F$17)</f>
        <v>288368.81508239999</v>
      </c>
      <c r="X31" s="172">
        <f>N31*(1+'Page d''accueil'!$F$17)</f>
        <v>288368.81508239999</v>
      </c>
      <c r="Y31" s="172">
        <f>Q31*(1+'Page d''accueil'!$F$17)</f>
        <v>288368.81508239999</v>
      </c>
      <c r="Z31" s="172"/>
      <c r="AA31" s="172">
        <v>360461.0188529999</v>
      </c>
      <c r="AB31" s="172">
        <f>R31*(1+'Page d''accueil'!$F$17)</f>
        <v>0</v>
      </c>
      <c r="AC31" s="172">
        <f>S31*(1+'Page d''accueil'!$F$17)</f>
        <v>0</v>
      </c>
      <c r="AD31" s="172">
        <f>V31*'Page d''accueil'!$F$14</f>
        <v>57673.763016479985</v>
      </c>
      <c r="AE31" s="172">
        <f>V31*'Page d''accueil'!$F$15</f>
        <v>90115.254713249975</v>
      </c>
      <c r="AF31" s="172">
        <f>V31*('Page d''accueil'!$F$17+1)</f>
        <v>370193.46636203089</v>
      </c>
      <c r="AG31" s="172">
        <f>W31*(1+'Page d''accueil'!$F$17)</f>
        <v>296154.77308962477</v>
      </c>
      <c r="AH31" s="172">
        <f>X31*(1+'Page d''accueil'!$F$17)</f>
        <v>296154.77308962477</v>
      </c>
      <c r="AI31" s="172">
        <f>Y31*(1+'Page d''accueil'!$F$17)</f>
        <v>296154.77308962477</v>
      </c>
      <c r="AJ31" s="172"/>
      <c r="AK31" s="172">
        <f>AA31*('Page d''accueil'!$F$17+1)</f>
        <v>370193.46636203089</v>
      </c>
      <c r="AL31" s="172">
        <f>AB31*(1+'Page d''accueil'!$F$17)</f>
        <v>0</v>
      </c>
      <c r="AM31" s="172">
        <f>AC31*(1+'Page d''accueil'!$F$17)</f>
        <v>0</v>
      </c>
      <c r="AN31" s="172">
        <f>AF31*'Page d''accueil'!$F$14</f>
        <v>59230.954617924945</v>
      </c>
      <c r="AO31" s="172">
        <f>AF31*'Page d''accueil'!$F$15</f>
        <v>92548.366590507721</v>
      </c>
      <c r="AP31" s="172">
        <f>AF31*('Page d''accueil'!$F$17+1)</f>
        <v>380188.6899538057</v>
      </c>
      <c r="AQ31" s="172">
        <f>AG31*(1+'Page d''accueil'!$F$17)</f>
        <v>304150.95196304459</v>
      </c>
      <c r="AR31" s="172">
        <f>AH31*(1+'Page d''accueil'!$F$17)</f>
        <v>304150.95196304459</v>
      </c>
      <c r="AS31" s="172">
        <f>AI31*(1+'Page d''accueil'!$F$17)</f>
        <v>304150.95196304459</v>
      </c>
      <c r="AT31" s="172"/>
      <c r="AU31" s="172">
        <f>AK31*('Page d''accueil'!$F$17+1)</f>
        <v>380188.6899538057</v>
      </c>
      <c r="AV31" s="172">
        <f>AL31*(1+'Page d''accueil'!$F$17)</f>
        <v>0</v>
      </c>
      <c r="AW31" s="172">
        <f>AM31*(1+'Page d''accueil'!$F$17)</f>
        <v>0</v>
      </c>
      <c r="AX31" s="172">
        <f>AP31*'Page d''accueil'!$F$14</f>
        <v>60830.190392608914</v>
      </c>
      <c r="AY31" s="172">
        <f>AP31*'Page d''accueil'!$F$15</f>
        <v>95047.172488451426</v>
      </c>
    </row>
    <row r="32" spans="1:51" s="5" customFormat="1" ht="12" customHeight="1">
      <c r="A32" s="169">
        <v>29</v>
      </c>
      <c r="B32" s="170" t="s">
        <v>298</v>
      </c>
      <c r="C32" s="170" t="s">
        <v>303</v>
      </c>
      <c r="D32" s="171">
        <v>137223</v>
      </c>
      <c r="E32" s="171">
        <v>109778.40000000001</v>
      </c>
      <c r="F32" s="171">
        <v>109778.40000000001</v>
      </c>
      <c r="G32" s="171">
        <v>109778.40000000001</v>
      </c>
      <c r="H32" s="171">
        <v>0</v>
      </c>
      <c r="I32" s="171">
        <v>0</v>
      </c>
      <c r="J32" s="172">
        <v>0</v>
      </c>
      <c r="K32" s="172">
        <f>D32*'Page d''accueil'!$F$15</f>
        <v>34305.75</v>
      </c>
      <c r="L32" s="172">
        <f>D32*('Page d''accueil'!$F$17+1)</f>
        <v>140928.02099999998</v>
      </c>
      <c r="M32" s="172">
        <f>E32*(1+'Page d''accueil'!$F$17)</f>
        <v>112742.41680000001</v>
      </c>
      <c r="N32" s="172">
        <f>F32*(1+'Page d''accueil'!$F$17)</f>
        <v>112742.41680000001</v>
      </c>
      <c r="O32" s="172"/>
      <c r="P32" s="172">
        <v>140928.02099999998</v>
      </c>
      <c r="Q32" s="172">
        <f>G32*(1+'Page d''accueil'!$F$17)</f>
        <v>112742.41680000001</v>
      </c>
      <c r="R32" s="172">
        <f>H32*(1+'Page d''accueil'!$F$17)</f>
        <v>0</v>
      </c>
      <c r="S32" s="172">
        <f>I32*(1+'Page d''accueil'!$F$17)</f>
        <v>0</v>
      </c>
      <c r="T32" s="172">
        <f>L32*'Page d''accueil'!$F$14</f>
        <v>22548.483359999998</v>
      </c>
      <c r="U32" s="172">
        <f>L32*'Page d''accueil'!$F$15</f>
        <v>35232.005249999995</v>
      </c>
      <c r="V32" s="172">
        <f>L32*('Page d''accueil'!$F$17+1)</f>
        <v>144733.07756699997</v>
      </c>
      <c r="W32" s="172">
        <f>M32*(1+'Page d''accueil'!$F$17)</f>
        <v>115786.4620536</v>
      </c>
      <c r="X32" s="172">
        <f>N32*(1+'Page d''accueil'!$F$17)</f>
        <v>115786.4620536</v>
      </c>
      <c r="Y32" s="172">
        <f>Q32*(1+'Page d''accueil'!$F$17)</f>
        <v>115786.4620536</v>
      </c>
      <c r="Z32" s="172"/>
      <c r="AA32" s="172">
        <v>144733.07756699997</v>
      </c>
      <c r="AB32" s="172">
        <f>R32*(1+'Page d''accueil'!$F$17)</f>
        <v>0</v>
      </c>
      <c r="AC32" s="172">
        <f>S32*(1+'Page d''accueil'!$F$17)</f>
        <v>0</v>
      </c>
      <c r="AD32" s="172">
        <f>V32*'Page d''accueil'!$F$14</f>
        <v>23157.292410719994</v>
      </c>
      <c r="AE32" s="172">
        <f>V32*'Page d''accueil'!$F$15</f>
        <v>36183.269391749993</v>
      </c>
      <c r="AF32" s="172">
        <f>V32*('Page d''accueil'!$F$17+1)</f>
        <v>148640.87066130896</v>
      </c>
      <c r="AG32" s="172">
        <f>W32*(1+'Page d''accueil'!$F$17)</f>
        <v>118912.69652904719</v>
      </c>
      <c r="AH32" s="172">
        <f>X32*(1+'Page d''accueil'!$F$17)</f>
        <v>118912.69652904719</v>
      </c>
      <c r="AI32" s="172">
        <f>Y32*(1+'Page d''accueil'!$F$17)</f>
        <v>118912.69652904719</v>
      </c>
      <c r="AJ32" s="172"/>
      <c r="AK32" s="172">
        <f>AA32*('Page d''accueil'!$F$17+1)</f>
        <v>148640.87066130896</v>
      </c>
      <c r="AL32" s="172">
        <f>AB32*(1+'Page d''accueil'!$F$17)</f>
        <v>0</v>
      </c>
      <c r="AM32" s="172">
        <f>AC32*(1+'Page d''accueil'!$F$17)</f>
        <v>0</v>
      </c>
      <c r="AN32" s="172">
        <f>AF32*'Page d''accueil'!$F$14</f>
        <v>23782.539305809434</v>
      </c>
      <c r="AO32" s="172">
        <f>AF32*'Page d''accueil'!$F$15</f>
        <v>37160.21766532724</v>
      </c>
      <c r="AP32" s="172">
        <f>AF32*('Page d''accueil'!$F$17+1)</f>
        <v>152654.1741691643</v>
      </c>
      <c r="AQ32" s="172">
        <f>AG32*(1+'Page d''accueil'!$F$17)</f>
        <v>122123.33933533145</v>
      </c>
      <c r="AR32" s="172">
        <f>AH32*(1+'Page d''accueil'!$F$17)</f>
        <v>122123.33933533145</v>
      </c>
      <c r="AS32" s="172">
        <f>AI32*(1+'Page d''accueil'!$F$17)</f>
        <v>122123.33933533145</v>
      </c>
      <c r="AT32" s="172"/>
      <c r="AU32" s="172">
        <f>AK32*('Page d''accueil'!$F$17+1)</f>
        <v>152654.1741691643</v>
      </c>
      <c r="AV32" s="172">
        <f>AL32*(1+'Page d''accueil'!$F$17)</f>
        <v>0</v>
      </c>
      <c r="AW32" s="172">
        <f>AM32*(1+'Page d''accueil'!$F$17)</f>
        <v>0</v>
      </c>
      <c r="AX32" s="172">
        <f>AP32*'Page d''accueil'!$F$14</f>
        <v>24424.667867066288</v>
      </c>
      <c r="AY32" s="172">
        <f>AP32*'Page d''accueil'!$F$15</f>
        <v>38163.543542291074</v>
      </c>
    </row>
    <row r="33" spans="1:51" s="5" customFormat="1" ht="12" customHeight="1">
      <c r="A33" s="169">
        <v>30</v>
      </c>
      <c r="B33" s="170" t="s">
        <v>304</v>
      </c>
      <c r="C33" s="170" t="s">
        <v>305</v>
      </c>
      <c r="D33" s="171">
        <v>138793</v>
      </c>
      <c r="E33" s="171">
        <v>111034.40000000001</v>
      </c>
      <c r="F33" s="171">
        <v>111034.40000000001</v>
      </c>
      <c r="G33" s="171">
        <v>0</v>
      </c>
      <c r="H33" s="171">
        <v>0</v>
      </c>
      <c r="I33" s="171">
        <v>0</v>
      </c>
      <c r="J33" s="172">
        <v>56905.13</v>
      </c>
      <c r="K33" s="172">
        <f>D33*'Page d''accueil'!$F$15</f>
        <v>34698.25</v>
      </c>
      <c r="L33" s="172">
        <f>D33*('Page d''accueil'!$F$17+1)</f>
        <v>142540.41099999999</v>
      </c>
      <c r="M33" s="172">
        <f>E33*(1+'Page d''accueil'!$F$17)</f>
        <v>114032.3288</v>
      </c>
      <c r="N33" s="172">
        <f>F33*(1+'Page d''accueil'!$F$17)</f>
        <v>114032.3288</v>
      </c>
      <c r="O33" s="172"/>
      <c r="P33" s="172">
        <v>142540.41099999999</v>
      </c>
      <c r="Q33" s="172">
        <f>G33*(1+'Page d''accueil'!$F$17)</f>
        <v>0</v>
      </c>
      <c r="R33" s="172">
        <f>H33*(1+'Page d''accueil'!$F$17)</f>
        <v>0</v>
      </c>
      <c r="S33" s="172">
        <f>I33*(1+'Page d''accueil'!$F$17)</f>
        <v>0</v>
      </c>
      <c r="T33" s="172">
        <f>L33*'Page d''accueil'!$F$14</f>
        <v>22806.465759999999</v>
      </c>
      <c r="U33" s="172">
        <f>L33*'Page d''accueil'!$F$15</f>
        <v>35635.102749999998</v>
      </c>
      <c r="V33" s="172">
        <f>L33*('Page d''accueil'!$F$17+1)</f>
        <v>146389.00209699999</v>
      </c>
      <c r="W33" s="172">
        <f>M33*(1+'Page d''accueil'!$F$17)</f>
        <v>117111.20167759999</v>
      </c>
      <c r="X33" s="172">
        <f>N33*(1+'Page d''accueil'!$F$17)</f>
        <v>117111.20167759999</v>
      </c>
      <c r="Y33" s="172">
        <f>Q33*(1+'Page d''accueil'!$F$17)</f>
        <v>0</v>
      </c>
      <c r="Z33" s="172"/>
      <c r="AA33" s="172">
        <v>146389.00209699999</v>
      </c>
      <c r="AB33" s="172">
        <f>R33*(1+'Page d''accueil'!$F$17)</f>
        <v>0</v>
      </c>
      <c r="AC33" s="172">
        <f>S33*(1+'Page d''accueil'!$F$17)</f>
        <v>0</v>
      </c>
      <c r="AD33" s="172">
        <f>V33*'Page d''accueil'!$F$14</f>
        <v>23422.24033552</v>
      </c>
      <c r="AE33" s="172">
        <f>V33*'Page d''accueil'!$F$15</f>
        <v>36597.250524249997</v>
      </c>
      <c r="AF33" s="172">
        <f>V33*('Page d''accueil'!$F$17+1)</f>
        <v>150341.50515361899</v>
      </c>
      <c r="AG33" s="172">
        <f>W33*(1+'Page d''accueil'!$F$17)</f>
        <v>120273.20412289519</v>
      </c>
      <c r="AH33" s="172">
        <f>X33*(1+'Page d''accueil'!$F$17)</f>
        <v>120273.20412289519</v>
      </c>
      <c r="AI33" s="172">
        <f>Y33*(1+'Page d''accueil'!$F$17)</f>
        <v>0</v>
      </c>
      <c r="AJ33" s="172"/>
      <c r="AK33" s="172">
        <f>AA33*('Page d''accueil'!$F$17+1)</f>
        <v>150341.50515361899</v>
      </c>
      <c r="AL33" s="172">
        <f>AB33*(1+'Page d''accueil'!$F$17)</f>
        <v>0</v>
      </c>
      <c r="AM33" s="172">
        <f>AC33*(1+'Page d''accueil'!$F$17)</f>
        <v>0</v>
      </c>
      <c r="AN33" s="172">
        <f>AF33*'Page d''accueil'!$F$14</f>
        <v>24054.640824579037</v>
      </c>
      <c r="AO33" s="172">
        <f>AF33*'Page d''accueil'!$F$15</f>
        <v>37585.376288404746</v>
      </c>
      <c r="AP33" s="172">
        <f>AF33*('Page d''accueil'!$F$17+1)</f>
        <v>154400.72579276669</v>
      </c>
      <c r="AQ33" s="172">
        <f>AG33*(1+'Page d''accueil'!$F$17)</f>
        <v>123520.58063421334</v>
      </c>
      <c r="AR33" s="172">
        <f>AH33*(1+'Page d''accueil'!$F$17)</f>
        <v>123520.58063421334</v>
      </c>
      <c r="AS33" s="172">
        <f>AI33*(1+'Page d''accueil'!$F$17)</f>
        <v>0</v>
      </c>
      <c r="AT33" s="172"/>
      <c r="AU33" s="172">
        <f>AK33*('Page d''accueil'!$F$17+1)</f>
        <v>154400.72579276669</v>
      </c>
      <c r="AV33" s="172">
        <f>AL33*(1+'Page d''accueil'!$F$17)</f>
        <v>0</v>
      </c>
      <c r="AW33" s="172">
        <f>AM33*(1+'Page d''accueil'!$F$17)</f>
        <v>0</v>
      </c>
      <c r="AX33" s="172">
        <f>AP33*'Page d''accueil'!$F$14</f>
        <v>24704.116126842673</v>
      </c>
      <c r="AY33" s="172">
        <f>AP33*'Page d''accueil'!$F$15</f>
        <v>38600.181448191674</v>
      </c>
    </row>
    <row r="34" spans="1:51" s="5" customFormat="1" ht="12" customHeight="1">
      <c r="A34" s="169">
        <v>31</v>
      </c>
      <c r="B34" s="170" t="s">
        <v>304</v>
      </c>
      <c r="C34" s="170" t="s">
        <v>306</v>
      </c>
      <c r="D34" s="171">
        <v>330566</v>
      </c>
      <c r="E34" s="171">
        <v>264452.8</v>
      </c>
      <c r="F34" s="171">
        <v>264452.8</v>
      </c>
      <c r="G34" s="171">
        <v>264452.8</v>
      </c>
      <c r="H34" s="171">
        <v>0</v>
      </c>
      <c r="I34" s="171">
        <v>82641.5</v>
      </c>
      <c r="J34" s="172">
        <v>0</v>
      </c>
      <c r="K34" s="172">
        <f>D34*'Page d''accueil'!$F$15</f>
        <v>82641.5</v>
      </c>
      <c r="L34" s="172">
        <f>D34*('Page d''accueil'!$F$17+1)</f>
        <v>339491.28199999995</v>
      </c>
      <c r="M34" s="172">
        <f>E34*(1+'Page d''accueil'!$F$17)</f>
        <v>271593.02559999999</v>
      </c>
      <c r="N34" s="172">
        <f>F34*(1+'Page d''accueil'!$F$17)</f>
        <v>271593.02559999999</v>
      </c>
      <c r="O34" s="172"/>
      <c r="P34" s="172">
        <v>339491.28199999995</v>
      </c>
      <c r="Q34" s="172">
        <f>G34*(1+'Page d''accueil'!$F$17)</f>
        <v>271593.02559999999</v>
      </c>
      <c r="R34" s="172">
        <f>H34*(1+'Page d''accueil'!$F$17)</f>
        <v>0</v>
      </c>
      <c r="S34" s="172">
        <f>I34*(1+'Page d''accueil'!$F$17)</f>
        <v>84872.820499999987</v>
      </c>
      <c r="T34" s="172">
        <f>L34*'Page d''accueil'!$F$14</f>
        <v>54318.605119999993</v>
      </c>
      <c r="U34" s="172">
        <f>L34*'Page d''accueil'!$F$15</f>
        <v>84872.820499999987</v>
      </c>
      <c r="V34" s="172">
        <f>L34*('Page d''accueil'!$F$17+1)</f>
        <v>348657.54661399993</v>
      </c>
      <c r="W34" s="172">
        <f>M34*(1+'Page d''accueil'!$F$17)</f>
        <v>278926.03729119996</v>
      </c>
      <c r="X34" s="172">
        <f>N34*(1+'Page d''accueil'!$F$17)</f>
        <v>278926.03729119996</v>
      </c>
      <c r="Y34" s="172">
        <f>Q34*(1+'Page d''accueil'!$F$17)</f>
        <v>278926.03729119996</v>
      </c>
      <c r="Z34" s="172"/>
      <c r="AA34" s="172">
        <v>348657.54661399993</v>
      </c>
      <c r="AB34" s="172">
        <f>R34*(1+'Page d''accueil'!$F$17)</f>
        <v>0</v>
      </c>
      <c r="AC34" s="172">
        <f>S34*(1+'Page d''accueil'!$F$17)</f>
        <v>87164.386653499983</v>
      </c>
      <c r="AD34" s="172">
        <f>V34*'Page d''accueil'!$F$14</f>
        <v>55785.207458239987</v>
      </c>
      <c r="AE34" s="172">
        <f>V34*'Page d''accueil'!$F$15</f>
        <v>87164.386653499983</v>
      </c>
      <c r="AF34" s="172">
        <f>V34*('Page d''accueil'!$F$17+1)</f>
        <v>358071.30037257791</v>
      </c>
      <c r="AG34" s="172">
        <f>W34*(1+'Page d''accueil'!$F$17)</f>
        <v>286457.04029806232</v>
      </c>
      <c r="AH34" s="172">
        <f>X34*(1+'Page d''accueil'!$F$17)</f>
        <v>286457.04029806232</v>
      </c>
      <c r="AI34" s="172">
        <f>Y34*(1+'Page d''accueil'!$F$17)</f>
        <v>286457.04029806232</v>
      </c>
      <c r="AJ34" s="172"/>
      <c r="AK34" s="172">
        <f>AA34*('Page d''accueil'!$F$17+1)</f>
        <v>358071.30037257791</v>
      </c>
      <c r="AL34" s="172">
        <f>AB34*(1+'Page d''accueil'!$F$17)</f>
        <v>0</v>
      </c>
      <c r="AM34" s="172">
        <f>AC34*(1+'Page d''accueil'!$F$17)</f>
        <v>89517.825093144478</v>
      </c>
      <c r="AN34" s="172">
        <f>AF34*'Page d''accueil'!$F$14</f>
        <v>57291.40805961247</v>
      </c>
      <c r="AO34" s="172">
        <f>AF34*'Page d''accueil'!$F$15</f>
        <v>89517.825093144478</v>
      </c>
      <c r="AP34" s="172">
        <f>AF34*('Page d''accueil'!$F$17+1)</f>
        <v>367739.22548263747</v>
      </c>
      <c r="AQ34" s="172">
        <f>AG34*(1+'Page d''accueil'!$F$17)</f>
        <v>294191.38038610999</v>
      </c>
      <c r="AR34" s="172">
        <f>AH34*(1+'Page d''accueil'!$F$17)</f>
        <v>294191.38038610999</v>
      </c>
      <c r="AS34" s="172">
        <f>AI34*(1+'Page d''accueil'!$F$17)</f>
        <v>294191.38038610999</v>
      </c>
      <c r="AT34" s="172"/>
      <c r="AU34" s="172">
        <f>AK34*('Page d''accueil'!$F$17+1)</f>
        <v>367739.22548263747</v>
      </c>
      <c r="AV34" s="172">
        <f>AL34*(1+'Page d''accueil'!$F$17)</f>
        <v>0</v>
      </c>
      <c r="AW34" s="172">
        <f>AM34*(1+'Page d''accueil'!$F$17)</f>
        <v>91934.806370659368</v>
      </c>
      <c r="AX34" s="172">
        <f>AP34*'Page d''accueil'!$F$14</f>
        <v>58838.276077221999</v>
      </c>
      <c r="AY34" s="172">
        <f>AP34*'Page d''accueil'!$F$15</f>
        <v>91934.806370659368</v>
      </c>
    </row>
    <row r="35" spans="1:51" s="5" customFormat="1" ht="12" customHeight="1">
      <c r="A35" s="169">
        <v>32</v>
      </c>
      <c r="B35" s="170" t="s">
        <v>304</v>
      </c>
      <c r="C35" s="170" t="s">
        <v>307</v>
      </c>
      <c r="D35" s="171">
        <v>333983</v>
      </c>
      <c r="E35" s="171">
        <v>267186.40000000002</v>
      </c>
      <c r="F35" s="171">
        <v>267186.40000000002</v>
      </c>
      <c r="G35" s="171">
        <v>0</v>
      </c>
      <c r="H35" s="171">
        <v>0</v>
      </c>
      <c r="I35" s="171">
        <v>0</v>
      </c>
      <c r="J35" s="172">
        <v>136933.03</v>
      </c>
      <c r="K35" s="172">
        <f>D35*'Page d''accueil'!$F$15</f>
        <v>83495.75</v>
      </c>
      <c r="L35" s="172">
        <f>D35*('Page d''accueil'!$F$17+1)</f>
        <v>343000.54099999997</v>
      </c>
      <c r="M35" s="172">
        <f>E35*(1+'Page d''accueil'!$F$17)</f>
        <v>274400.43280000001</v>
      </c>
      <c r="N35" s="172">
        <f>F35*(1+'Page d''accueil'!$F$17)</f>
        <v>274400.43280000001</v>
      </c>
      <c r="O35" s="172">
        <f>P35/10</f>
        <v>34300.054099999994</v>
      </c>
      <c r="P35" s="172">
        <v>343000.54099999997</v>
      </c>
      <c r="Q35" s="172">
        <f>G35*(1+'Page d''accueil'!$F$17)</f>
        <v>0</v>
      </c>
      <c r="R35" s="172">
        <f>H35*(1+'Page d''accueil'!$F$17)</f>
        <v>0</v>
      </c>
      <c r="S35" s="172">
        <f>I35*(1+'Page d''accueil'!$F$17)</f>
        <v>0</v>
      </c>
      <c r="T35" s="172">
        <f>L35*'Page d''accueil'!$F$14</f>
        <v>54880.086559999996</v>
      </c>
      <c r="U35" s="172">
        <f>L35*'Page d''accueil'!$F$15</f>
        <v>85750.135249999992</v>
      </c>
      <c r="V35" s="172">
        <f>L35*('Page d''accueil'!$F$17+1)</f>
        <v>352261.55560699996</v>
      </c>
      <c r="W35" s="172">
        <f>M35*(1+'Page d''accueil'!$F$17)</f>
        <v>281809.24448559998</v>
      </c>
      <c r="X35" s="172">
        <f>N35*(1+'Page d''accueil'!$F$17)</f>
        <v>281809.24448559998</v>
      </c>
      <c r="Y35" s="172">
        <f>Q35*(1+'Page d''accueil'!$F$17)</f>
        <v>0</v>
      </c>
      <c r="Z35" s="172">
        <f>AA35/10</f>
        <v>35226.155560699997</v>
      </c>
      <c r="AA35" s="172">
        <v>352261.55560699996</v>
      </c>
      <c r="AB35" s="172">
        <f>R35*(1+'Page d''accueil'!$F$17)</f>
        <v>0</v>
      </c>
      <c r="AC35" s="172">
        <f>S35*(1+'Page d''accueil'!$F$17)</f>
        <v>0</v>
      </c>
      <c r="AD35" s="172">
        <f>V35*'Page d''accueil'!$F$14</f>
        <v>56361.848897119991</v>
      </c>
      <c r="AE35" s="172">
        <f>V35*'Page d''accueil'!$F$15</f>
        <v>88065.38890174999</v>
      </c>
      <c r="AF35" s="172">
        <f>V35*('Page d''accueil'!$F$17+1)</f>
        <v>361772.61760838894</v>
      </c>
      <c r="AG35" s="172">
        <f>W35*(1+'Page d''accueil'!$F$17)</f>
        <v>289418.09408671118</v>
      </c>
      <c r="AH35" s="172">
        <f>X35*(1+'Page d''accueil'!$F$17)</f>
        <v>289418.09408671118</v>
      </c>
      <c r="AI35" s="172">
        <f>Y35*(1+'Page d''accueil'!$F$17)</f>
        <v>0</v>
      </c>
      <c r="AJ35" s="172">
        <f>AK35/10</f>
        <v>36177.261760838897</v>
      </c>
      <c r="AK35" s="172">
        <f>AA35*('Page d''accueil'!$F$17+1)</f>
        <v>361772.61760838894</v>
      </c>
      <c r="AL35" s="172">
        <f>AB35*(1+'Page d''accueil'!$F$17)</f>
        <v>0</v>
      </c>
      <c r="AM35" s="172">
        <f>AC35*(1+'Page d''accueil'!$F$17)</f>
        <v>0</v>
      </c>
      <c r="AN35" s="172">
        <f>AF35*'Page d''accueil'!$F$14</f>
        <v>57883.618817342234</v>
      </c>
      <c r="AO35" s="172">
        <f>AF35*'Page d''accueil'!$F$15</f>
        <v>90443.154402097236</v>
      </c>
      <c r="AP35" s="172">
        <f>AF35*('Page d''accueil'!$F$17+1)</f>
        <v>371540.47828381544</v>
      </c>
      <c r="AQ35" s="172">
        <f>AG35*(1+'Page d''accueil'!$F$17)</f>
        <v>297232.38262705237</v>
      </c>
      <c r="AR35" s="172">
        <f>AH35*(1+'Page d''accueil'!$F$17)</f>
        <v>297232.38262705237</v>
      </c>
      <c r="AS35" s="172">
        <f>AI35*(1+'Page d''accueil'!$F$17)</f>
        <v>0</v>
      </c>
      <c r="AT35" s="172">
        <f>AU35/10</f>
        <v>37154.047828381546</v>
      </c>
      <c r="AU35" s="172">
        <f>AK35*('Page d''accueil'!$F$17+1)</f>
        <v>371540.47828381544</v>
      </c>
      <c r="AV35" s="172">
        <f>AL35*(1+'Page d''accueil'!$F$17)</f>
        <v>0</v>
      </c>
      <c r="AW35" s="172">
        <f>AM35*(1+'Page d''accueil'!$F$17)</f>
        <v>0</v>
      </c>
      <c r="AX35" s="172">
        <f>AP35*'Page d''accueil'!$F$14</f>
        <v>59446.476525410471</v>
      </c>
      <c r="AY35" s="172">
        <f>AP35*'Page d''accueil'!$F$15</f>
        <v>92885.119570953859</v>
      </c>
    </row>
    <row r="36" spans="1:51" s="5" customFormat="1" ht="12" customHeight="1">
      <c r="A36" s="169">
        <v>33</v>
      </c>
      <c r="B36" s="170" t="s">
        <v>308</v>
      </c>
      <c r="C36" s="170" t="s">
        <v>309</v>
      </c>
      <c r="D36" s="171">
        <v>360954</v>
      </c>
      <c r="E36" s="171">
        <v>288763.2</v>
      </c>
      <c r="F36" s="171">
        <v>288763.2</v>
      </c>
      <c r="G36" s="171">
        <v>288763.2</v>
      </c>
      <c r="H36" s="171">
        <v>0</v>
      </c>
      <c r="I36" s="171">
        <v>288763.2</v>
      </c>
      <c r="J36" s="172">
        <v>147991.13999999998</v>
      </c>
      <c r="K36" s="172">
        <f>D36*'Page d''accueil'!$F$15</f>
        <v>90238.5</v>
      </c>
      <c r="L36" s="172">
        <f>D36*('Page d''accueil'!$F$17+1)</f>
        <v>370699.75799999997</v>
      </c>
      <c r="M36" s="172">
        <f>E36*(1+'Page d''accueil'!$F$17)</f>
        <v>296559.8064</v>
      </c>
      <c r="N36" s="172">
        <f>F36*(1+'Page d''accueil'!$F$17)</f>
        <v>296559.8064</v>
      </c>
      <c r="O36" s="172"/>
      <c r="P36" s="172">
        <v>370699.75799999997</v>
      </c>
      <c r="Q36" s="172">
        <f>G36*(1+'Page d''accueil'!$F$17)</f>
        <v>296559.8064</v>
      </c>
      <c r="R36" s="172">
        <f>H36*(1+'Page d''accueil'!$F$17)</f>
        <v>0</v>
      </c>
      <c r="S36" s="172">
        <f>I36*(1+'Page d''accueil'!$F$17)</f>
        <v>296559.8064</v>
      </c>
      <c r="T36" s="172">
        <f>L36*'Page d''accueil'!$F$14</f>
        <v>59311.961279999996</v>
      </c>
      <c r="U36" s="172">
        <f>L36*'Page d''accueil'!$F$15</f>
        <v>92674.939499999993</v>
      </c>
      <c r="V36" s="172">
        <f>L36*('Page d''accueil'!$F$17+1)</f>
        <v>380708.65146599995</v>
      </c>
      <c r="W36" s="172">
        <f>M36*(1+'Page d''accueil'!$F$17)</f>
        <v>304566.92117279995</v>
      </c>
      <c r="X36" s="172">
        <f>N36*(1+'Page d''accueil'!$F$17)</f>
        <v>304566.92117279995</v>
      </c>
      <c r="Y36" s="172">
        <f>Q36*(1+'Page d''accueil'!$F$17)</f>
        <v>304566.92117279995</v>
      </c>
      <c r="Z36" s="172"/>
      <c r="AA36" s="172">
        <v>380708.65146599995</v>
      </c>
      <c r="AB36" s="172">
        <f>R36*(1+'Page d''accueil'!$F$17)</f>
        <v>0</v>
      </c>
      <c r="AC36" s="172">
        <f>S36*(1+'Page d''accueil'!$F$17)</f>
        <v>304566.92117279995</v>
      </c>
      <c r="AD36" s="172">
        <f>V36*'Page d''accueil'!$F$14</f>
        <v>60913.384234559991</v>
      </c>
      <c r="AE36" s="172">
        <f>V36*'Page d''accueil'!$F$15</f>
        <v>95177.162866499988</v>
      </c>
      <c r="AF36" s="172">
        <f>V36*('Page d''accueil'!$F$17+1)</f>
        <v>390987.78505558195</v>
      </c>
      <c r="AG36" s="172">
        <f>W36*(1+'Page d''accueil'!$F$17)</f>
        <v>312790.22804446553</v>
      </c>
      <c r="AH36" s="172">
        <f>X36*(1+'Page d''accueil'!$F$17)</f>
        <v>312790.22804446553</v>
      </c>
      <c r="AI36" s="172">
        <f>Y36*(1+'Page d''accueil'!$F$17)</f>
        <v>312790.22804446553</v>
      </c>
      <c r="AJ36" s="172"/>
      <c r="AK36" s="172">
        <f>AA36*('Page d''accueil'!$F$17+1)</f>
        <v>390987.78505558195</v>
      </c>
      <c r="AL36" s="172">
        <f>AB36*(1+'Page d''accueil'!$F$17)</f>
        <v>0</v>
      </c>
      <c r="AM36" s="172">
        <f>AC36*(1+'Page d''accueil'!$F$17)</f>
        <v>312790.22804446553</v>
      </c>
      <c r="AN36" s="172">
        <f>AF36*'Page d''accueil'!$F$14</f>
        <v>62558.04560889311</v>
      </c>
      <c r="AO36" s="172">
        <f>AF36*'Page d''accueil'!$F$15</f>
        <v>97746.946263895486</v>
      </c>
      <c r="AP36" s="172">
        <f>AF36*('Page d''accueil'!$F$17+1)</f>
        <v>401544.45525208261</v>
      </c>
      <c r="AQ36" s="172">
        <f>AG36*(1+'Page d''accueil'!$F$17)</f>
        <v>321235.5642016661</v>
      </c>
      <c r="AR36" s="172">
        <f>AH36*(1+'Page d''accueil'!$F$17)</f>
        <v>321235.5642016661</v>
      </c>
      <c r="AS36" s="172">
        <f>AI36*(1+'Page d''accueil'!$F$17)</f>
        <v>321235.5642016661</v>
      </c>
      <c r="AT36" s="172"/>
      <c r="AU36" s="172">
        <f>AK36*('Page d''accueil'!$F$17+1)</f>
        <v>401544.45525208261</v>
      </c>
      <c r="AV36" s="172">
        <f>AL36*(1+'Page d''accueil'!$F$17)</f>
        <v>0</v>
      </c>
      <c r="AW36" s="172">
        <f>AM36*(1+'Page d''accueil'!$F$17)</f>
        <v>321235.5642016661</v>
      </c>
      <c r="AX36" s="172">
        <f>AP36*'Page d''accueil'!$F$14</f>
        <v>64247.112840333219</v>
      </c>
      <c r="AY36" s="172">
        <f>AP36*'Page d''accueil'!$F$15</f>
        <v>100386.11381302065</v>
      </c>
    </row>
    <row r="37" spans="1:51" s="5" customFormat="1" ht="12" customHeight="1">
      <c r="A37" s="169">
        <v>34</v>
      </c>
      <c r="B37" s="170" t="s">
        <v>308</v>
      </c>
      <c r="C37" s="170" t="s">
        <v>310</v>
      </c>
      <c r="D37" s="171">
        <v>307436</v>
      </c>
      <c r="E37" s="171">
        <v>245948.80000000002</v>
      </c>
      <c r="F37" s="171">
        <v>245948.80000000002</v>
      </c>
      <c r="G37" s="171">
        <v>245948.80000000002</v>
      </c>
      <c r="H37" s="171">
        <v>0</v>
      </c>
      <c r="I37" s="171">
        <v>245948.80000000002</v>
      </c>
      <c r="J37" s="172">
        <v>126048.76</v>
      </c>
      <c r="K37" s="172">
        <f>D37*'Page d''accueil'!$F$15</f>
        <v>76859</v>
      </c>
      <c r="L37" s="172">
        <f>D37*('Page d''accueil'!$F$17+1)</f>
        <v>315736.772</v>
      </c>
      <c r="M37" s="172">
        <f>E37*(1+'Page d''accueil'!$F$17)</f>
        <v>252589.41759999999</v>
      </c>
      <c r="N37" s="172">
        <f>F37*(1+'Page d''accueil'!$F$17)</f>
        <v>252589.41759999999</v>
      </c>
      <c r="O37" s="172">
        <f>P37/10</f>
        <v>31573.677199999998</v>
      </c>
      <c r="P37" s="172">
        <v>315736.772</v>
      </c>
      <c r="Q37" s="172">
        <f>G37*(1+'Page d''accueil'!$F$17)</f>
        <v>252589.41759999999</v>
      </c>
      <c r="R37" s="172">
        <f>H37*(1+'Page d''accueil'!$F$17)</f>
        <v>0</v>
      </c>
      <c r="S37" s="172">
        <f>I37*(1+'Page d''accueil'!$F$17)</f>
        <v>252589.41759999999</v>
      </c>
      <c r="T37" s="172">
        <f>L37*'Page d''accueil'!$F$14</f>
        <v>50517.883520000003</v>
      </c>
      <c r="U37" s="172">
        <f>L37*'Page d''accueil'!$F$15</f>
        <v>78934.192999999999</v>
      </c>
      <c r="V37" s="172">
        <f>L37*('Page d''accueil'!$F$17+1)</f>
        <v>324261.66484399996</v>
      </c>
      <c r="W37" s="172">
        <f>M37*(1+'Page d''accueil'!$F$17)</f>
        <v>259409.33187519998</v>
      </c>
      <c r="X37" s="172">
        <f>N37*(1+'Page d''accueil'!$F$17)</f>
        <v>259409.33187519998</v>
      </c>
      <c r="Y37" s="172">
        <f>Q37*(1+'Page d''accueil'!$F$17)</f>
        <v>259409.33187519998</v>
      </c>
      <c r="Z37" s="172">
        <f>AA37/10</f>
        <v>32426.166484399997</v>
      </c>
      <c r="AA37" s="172">
        <v>324261.66484399996</v>
      </c>
      <c r="AB37" s="172">
        <f>R37*(1+'Page d''accueil'!$F$17)</f>
        <v>0</v>
      </c>
      <c r="AC37" s="172">
        <f>S37*(1+'Page d''accueil'!$F$17)</f>
        <v>259409.33187519998</v>
      </c>
      <c r="AD37" s="172">
        <f>V37*'Page d''accueil'!$F$14</f>
        <v>51881.866375039994</v>
      </c>
      <c r="AE37" s="172">
        <f>V37*'Page d''accueil'!$F$15</f>
        <v>81065.416210999989</v>
      </c>
      <c r="AF37" s="172">
        <f>V37*('Page d''accueil'!$F$17+1)</f>
        <v>333016.72979478794</v>
      </c>
      <c r="AG37" s="172">
        <f>W37*(1+'Page d''accueil'!$F$17)</f>
        <v>266413.38383583038</v>
      </c>
      <c r="AH37" s="172">
        <f>X37*(1+'Page d''accueil'!$F$17)</f>
        <v>266413.38383583038</v>
      </c>
      <c r="AI37" s="172">
        <f>Y37*(1+'Page d''accueil'!$F$17)</f>
        <v>266413.38383583038</v>
      </c>
      <c r="AJ37" s="172">
        <f>AK37/10</f>
        <v>33301.672979478797</v>
      </c>
      <c r="AK37" s="172">
        <f>AA37*('Page d''accueil'!$F$17+1)</f>
        <v>333016.72979478794</v>
      </c>
      <c r="AL37" s="172">
        <f>AB37*(1+'Page d''accueil'!$F$17)</f>
        <v>0</v>
      </c>
      <c r="AM37" s="172">
        <f>AC37*(1+'Page d''accueil'!$F$17)</f>
        <v>266413.38383583038</v>
      </c>
      <c r="AN37" s="172">
        <f>AF37*'Page d''accueil'!$F$14</f>
        <v>53282.676767166071</v>
      </c>
      <c r="AO37" s="172">
        <f>AF37*'Page d''accueil'!$F$15</f>
        <v>83254.182448696985</v>
      </c>
      <c r="AP37" s="172">
        <f>AF37*('Page d''accueil'!$F$17+1)</f>
        <v>342008.18149924721</v>
      </c>
      <c r="AQ37" s="172">
        <f>AG37*(1+'Page d''accueil'!$F$17)</f>
        <v>273606.54519939778</v>
      </c>
      <c r="AR37" s="172">
        <f>AH37*(1+'Page d''accueil'!$F$17)</f>
        <v>273606.54519939778</v>
      </c>
      <c r="AS37" s="172">
        <f>AI37*(1+'Page d''accueil'!$F$17)</f>
        <v>273606.54519939778</v>
      </c>
      <c r="AT37" s="172">
        <f>AU37/10</f>
        <v>34200.818149924722</v>
      </c>
      <c r="AU37" s="172">
        <f>AK37*('Page d''accueil'!$F$17+1)</f>
        <v>342008.18149924721</v>
      </c>
      <c r="AV37" s="172">
        <f>AL37*(1+'Page d''accueil'!$F$17)</f>
        <v>0</v>
      </c>
      <c r="AW37" s="172">
        <f>AM37*(1+'Page d''accueil'!$F$17)</f>
        <v>273606.54519939778</v>
      </c>
      <c r="AX37" s="172">
        <f>AP37*'Page d''accueil'!$F$14</f>
        <v>54721.309039879554</v>
      </c>
      <c r="AY37" s="172">
        <f>AP37*'Page d''accueil'!$F$15</f>
        <v>85502.045374811802</v>
      </c>
    </row>
    <row r="38" spans="1:51" s="5" customFormat="1" ht="12" customHeight="1">
      <c r="A38" s="169">
        <v>35</v>
      </c>
      <c r="B38" s="170" t="s">
        <v>308</v>
      </c>
      <c r="C38" s="170" t="s">
        <v>311</v>
      </c>
      <c r="D38" s="171">
        <v>184216</v>
      </c>
      <c r="E38" s="171">
        <v>0</v>
      </c>
      <c r="F38" s="171">
        <v>0</v>
      </c>
      <c r="G38" s="171">
        <v>147372.80000000002</v>
      </c>
      <c r="H38" s="171">
        <v>0</v>
      </c>
      <c r="I38" s="171">
        <v>147372.80000000002</v>
      </c>
      <c r="J38" s="172">
        <v>75528.56</v>
      </c>
      <c r="K38" s="172">
        <f>D38*'Page d''accueil'!$F$15</f>
        <v>46054</v>
      </c>
      <c r="L38" s="172">
        <f>D38*('Page d''accueil'!$F$17+1)</f>
        <v>189189.83199999999</v>
      </c>
      <c r="M38" s="172">
        <f>E38*(1+'Page d''accueil'!$F$17)</f>
        <v>0</v>
      </c>
      <c r="N38" s="172">
        <f>F38*(1+'Page d''accueil'!$F$17)</f>
        <v>0</v>
      </c>
      <c r="O38" s="172"/>
      <c r="P38" s="172">
        <v>189189.83199999999</v>
      </c>
      <c r="Q38" s="172">
        <f>G38*(1+'Page d''accueil'!$F$17)</f>
        <v>151351.86560000002</v>
      </c>
      <c r="R38" s="172">
        <f>H38*(1+'Page d''accueil'!$F$17)</f>
        <v>0</v>
      </c>
      <c r="S38" s="172">
        <f>I38*(1+'Page d''accueil'!$F$17)</f>
        <v>151351.86560000002</v>
      </c>
      <c r="T38" s="172">
        <f>L38*'Page d''accueil'!$F$14</f>
        <v>30270.37312</v>
      </c>
      <c r="U38" s="172">
        <f>L38*'Page d''accueil'!$F$15</f>
        <v>47297.457999999999</v>
      </c>
      <c r="V38" s="172">
        <f>L38*('Page d''accueil'!$F$17+1)</f>
        <v>194297.95746399998</v>
      </c>
      <c r="W38" s="172">
        <f>M38*(1+'Page d''accueil'!$F$17)</f>
        <v>0</v>
      </c>
      <c r="X38" s="172">
        <f>N38*(1+'Page d''accueil'!$F$17)</f>
        <v>0</v>
      </c>
      <c r="Y38" s="172">
        <f>Q38*(1+'Page d''accueil'!$F$17)</f>
        <v>155438.36597119999</v>
      </c>
      <c r="Z38" s="172"/>
      <c r="AA38" s="172">
        <v>194297.95746399998</v>
      </c>
      <c r="AB38" s="172">
        <f>R38*(1+'Page d''accueil'!$F$17)</f>
        <v>0</v>
      </c>
      <c r="AC38" s="172">
        <f>S38*(1+'Page d''accueil'!$F$17)</f>
        <v>155438.36597119999</v>
      </c>
      <c r="AD38" s="172">
        <f>V38*'Page d''accueil'!$F$14</f>
        <v>31087.673194239997</v>
      </c>
      <c r="AE38" s="172">
        <f>V38*'Page d''accueil'!$F$15</f>
        <v>48574.489365999994</v>
      </c>
      <c r="AF38" s="172">
        <f>V38*('Page d''accueil'!$F$17+1)</f>
        <v>199544.00231552796</v>
      </c>
      <c r="AG38" s="172">
        <f>W38*(1+'Page d''accueil'!$F$17)</f>
        <v>0</v>
      </c>
      <c r="AH38" s="172">
        <f>X38*(1+'Page d''accueil'!$F$17)</f>
        <v>0</v>
      </c>
      <c r="AI38" s="172">
        <f>Y38*(1+'Page d''accueil'!$F$17)</f>
        <v>159635.20185242238</v>
      </c>
      <c r="AJ38" s="172"/>
      <c r="AK38" s="172">
        <f>AA38*('Page d''accueil'!$F$17+1)</f>
        <v>199544.00231552796</v>
      </c>
      <c r="AL38" s="172">
        <f>AB38*(1+'Page d''accueil'!$F$17)</f>
        <v>0</v>
      </c>
      <c r="AM38" s="172">
        <f>AC38*(1+'Page d''accueil'!$F$17)</f>
        <v>159635.20185242238</v>
      </c>
      <c r="AN38" s="172">
        <f>AF38*'Page d''accueil'!$F$14</f>
        <v>31927.040370484476</v>
      </c>
      <c r="AO38" s="172">
        <f>AF38*'Page d''accueil'!$F$15</f>
        <v>49886.000578881991</v>
      </c>
      <c r="AP38" s="172">
        <f>AF38*('Page d''accueil'!$F$17+1)</f>
        <v>204931.69037804721</v>
      </c>
      <c r="AQ38" s="172">
        <f>AG38*(1+'Page d''accueil'!$F$17)</f>
        <v>0</v>
      </c>
      <c r="AR38" s="172">
        <f>AH38*(1+'Page d''accueil'!$F$17)</f>
        <v>0</v>
      </c>
      <c r="AS38" s="172">
        <f>AI38*(1+'Page d''accueil'!$F$17)</f>
        <v>163945.35230243776</v>
      </c>
      <c r="AT38" s="172"/>
      <c r="AU38" s="172">
        <f>AK38*('Page d''accueil'!$F$17+1)</f>
        <v>204931.69037804721</v>
      </c>
      <c r="AV38" s="172">
        <f>AL38*(1+'Page d''accueil'!$F$17)</f>
        <v>0</v>
      </c>
      <c r="AW38" s="172">
        <f>AM38*(1+'Page d''accueil'!$F$17)</f>
        <v>163945.35230243776</v>
      </c>
      <c r="AX38" s="172">
        <f>AP38*'Page d''accueil'!$F$14</f>
        <v>32789.07046048755</v>
      </c>
      <c r="AY38" s="172">
        <f>AP38*'Page d''accueil'!$F$15</f>
        <v>51232.922594511801</v>
      </c>
    </row>
    <row r="39" spans="1:51" s="5" customFormat="1" ht="12" customHeight="1">
      <c r="A39" s="169">
        <v>36</v>
      </c>
      <c r="B39" s="170" t="s">
        <v>308</v>
      </c>
      <c r="C39" s="170" t="s">
        <v>312</v>
      </c>
      <c r="D39" s="171">
        <v>289110</v>
      </c>
      <c r="E39" s="171">
        <v>231288</v>
      </c>
      <c r="F39" s="171">
        <v>231288</v>
      </c>
      <c r="G39" s="171">
        <v>231288</v>
      </c>
      <c r="H39" s="171">
        <v>0</v>
      </c>
      <c r="I39" s="171">
        <v>231288</v>
      </c>
      <c r="J39" s="172">
        <v>118535.09999999999</v>
      </c>
      <c r="K39" s="172">
        <f>D39*'Page d''accueil'!$F$15</f>
        <v>72277.5</v>
      </c>
      <c r="L39" s="172">
        <f>D39*('Page d''accueil'!$F$17+1)</f>
        <v>296915.96999999997</v>
      </c>
      <c r="M39" s="172">
        <f>E39*(1+'Page d''accueil'!$F$17)</f>
        <v>237532.77599999998</v>
      </c>
      <c r="N39" s="172">
        <f>F39*(1+'Page d''accueil'!$F$17)</f>
        <v>237532.77599999998</v>
      </c>
      <c r="O39" s="172"/>
      <c r="P39" s="172">
        <v>296915.96999999997</v>
      </c>
      <c r="Q39" s="172">
        <f>G39*(1+'Page d''accueil'!$F$17)</f>
        <v>237532.77599999998</v>
      </c>
      <c r="R39" s="172">
        <f>H39*(1+'Page d''accueil'!$F$17)</f>
        <v>0</v>
      </c>
      <c r="S39" s="172">
        <f>I39*(1+'Page d''accueil'!$F$17)</f>
        <v>237532.77599999998</v>
      </c>
      <c r="T39" s="172">
        <f>L39*'Page d''accueil'!$F$14</f>
        <v>47506.555199999995</v>
      </c>
      <c r="U39" s="172">
        <f>L39*'Page d''accueil'!$F$15</f>
        <v>74228.992499999993</v>
      </c>
      <c r="V39" s="172">
        <f>L39*('Page d''accueil'!$F$17+1)</f>
        <v>304932.70118999993</v>
      </c>
      <c r="W39" s="172">
        <f>M39*(1+'Page d''accueil'!$F$17)</f>
        <v>243946.16095199998</v>
      </c>
      <c r="X39" s="172">
        <f>N39*(1+'Page d''accueil'!$F$17)</f>
        <v>243946.16095199998</v>
      </c>
      <c r="Y39" s="172">
        <f>Q39*(1+'Page d''accueil'!$F$17)</f>
        <v>243946.16095199998</v>
      </c>
      <c r="Z39" s="172"/>
      <c r="AA39" s="172">
        <v>304932.70118999993</v>
      </c>
      <c r="AB39" s="172">
        <f>R39*(1+'Page d''accueil'!$F$17)</f>
        <v>0</v>
      </c>
      <c r="AC39" s="172">
        <f>S39*(1+'Page d''accueil'!$F$17)</f>
        <v>243946.16095199998</v>
      </c>
      <c r="AD39" s="172">
        <f>V39*'Page d''accueil'!$F$14</f>
        <v>48789.232190399991</v>
      </c>
      <c r="AE39" s="172">
        <f>V39*'Page d''accueil'!$F$15</f>
        <v>76233.175297499984</v>
      </c>
      <c r="AF39" s="172">
        <f>V39*('Page d''accueil'!$F$17+1)</f>
        <v>313165.88412212988</v>
      </c>
      <c r="AG39" s="172">
        <f>W39*(1+'Page d''accueil'!$F$17)</f>
        <v>250532.70729770395</v>
      </c>
      <c r="AH39" s="172">
        <f>X39*(1+'Page d''accueil'!$F$17)</f>
        <v>250532.70729770395</v>
      </c>
      <c r="AI39" s="172">
        <f>Y39*(1+'Page d''accueil'!$F$17)</f>
        <v>250532.70729770395</v>
      </c>
      <c r="AJ39" s="172"/>
      <c r="AK39" s="172">
        <f>AA39*('Page d''accueil'!$F$17+1)</f>
        <v>313165.88412212988</v>
      </c>
      <c r="AL39" s="172">
        <f>AB39*(1+'Page d''accueil'!$F$17)</f>
        <v>0</v>
      </c>
      <c r="AM39" s="172">
        <f>AC39*(1+'Page d''accueil'!$F$17)</f>
        <v>250532.70729770395</v>
      </c>
      <c r="AN39" s="172">
        <f>AF39*'Page d''accueil'!$F$14</f>
        <v>50106.541459540778</v>
      </c>
      <c r="AO39" s="172">
        <f>AF39*'Page d''accueil'!$F$15</f>
        <v>78291.47103053247</v>
      </c>
      <c r="AP39" s="172">
        <f>AF39*('Page d''accueil'!$F$17+1)</f>
        <v>321621.36299342738</v>
      </c>
      <c r="AQ39" s="172">
        <f>AG39*(1+'Page d''accueil'!$F$17)</f>
        <v>257297.09039474194</v>
      </c>
      <c r="AR39" s="172">
        <f>AH39*(1+'Page d''accueil'!$F$17)</f>
        <v>257297.09039474194</v>
      </c>
      <c r="AS39" s="172">
        <f>AI39*(1+'Page d''accueil'!$F$17)</f>
        <v>257297.09039474194</v>
      </c>
      <c r="AT39" s="172"/>
      <c r="AU39" s="172">
        <f>AK39*('Page d''accueil'!$F$17+1)</f>
        <v>321621.36299342738</v>
      </c>
      <c r="AV39" s="172">
        <f>AL39*(1+'Page d''accueil'!$F$17)</f>
        <v>0</v>
      </c>
      <c r="AW39" s="172">
        <f>AM39*(1+'Page d''accueil'!$F$17)</f>
        <v>257297.09039474194</v>
      </c>
      <c r="AX39" s="172">
        <f>AP39*'Page d''accueil'!$F$14</f>
        <v>51459.41807894838</v>
      </c>
      <c r="AY39" s="172">
        <f>AP39*'Page d''accueil'!$F$15</f>
        <v>80405.340748356844</v>
      </c>
    </row>
    <row r="40" spans="1:51" s="5" customFormat="1" ht="12" customHeight="1">
      <c r="A40" s="169">
        <v>37</v>
      </c>
      <c r="B40" s="170" t="s">
        <v>308</v>
      </c>
      <c r="C40" s="170" t="s">
        <v>313</v>
      </c>
      <c r="D40" s="171">
        <v>434613</v>
      </c>
      <c r="E40" s="171">
        <v>0</v>
      </c>
      <c r="F40" s="171">
        <v>0</v>
      </c>
      <c r="G40" s="171">
        <v>347690.4</v>
      </c>
      <c r="H40" s="171">
        <v>0</v>
      </c>
      <c r="I40" s="171">
        <v>347690.4</v>
      </c>
      <c r="J40" s="172">
        <v>178191.33</v>
      </c>
      <c r="K40" s="172">
        <f>D40*'Page d''accueil'!$F$15</f>
        <v>108653.25</v>
      </c>
      <c r="L40" s="172">
        <f>D40*('Page d''accueil'!$F$17+1)</f>
        <v>446347.55099999998</v>
      </c>
      <c r="M40" s="172">
        <f>E40*(1+'Page d''accueil'!$F$17)</f>
        <v>0</v>
      </c>
      <c r="N40" s="172">
        <f>F40*(1+'Page d''accueil'!$F$17)</f>
        <v>0</v>
      </c>
      <c r="O40" s="172">
        <f>P40/10</f>
        <v>44634.755099999995</v>
      </c>
      <c r="P40" s="172">
        <v>446347.55099999998</v>
      </c>
      <c r="Q40" s="172">
        <f>G40*(1+'Page d''accueil'!$F$17)</f>
        <v>357078.04080000002</v>
      </c>
      <c r="R40" s="172">
        <f>H40*(1+'Page d''accueil'!$F$17)</f>
        <v>0</v>
      </c>
      <c r="S40" s="172">
        <f>I40*(1+'Page d''accueil'!$F$17)</f>
        <v>357078.04080000002</v>
      </c>
      <c r="T40" s="172">
        <f>L40*'Page d''accueil'!$F$14</f>
        <v>71415.608160000003</v>
      </c>
      <c r="U40" s="172">
        <f>L40*'Page d''accueil'!$F$15</f>
        <v>111586.88774999999</v>
      </c>
      <c r="V40" s="172">
        <f>L40*('Page d''accueil'!$F$17+1)</f>
        <v>458398.93487699993</v>
      </c>
      <c r="W40" s="172">
        <f>M40*(1+'Page d''accueil'!$F$17)</f>
        <v>0</v>
      </c>
      <c r="X40" s="172">
        <f>N40*(1+'Page d''accueil'!$F$17)</f>
        <v>0</v>
      </c>
      <c r="Y40" s="172">
        <f>Q40*(1+'Page d''accueil'!$F$17)</f>
        <v>366719.14790159999</v>
      </c>
      <c r="Z40" s="172">
        <f>AA40/10</f>
        <v>45839.893487699992</v>
      </c>
      <c r="AA40" s="172">
        <v>458398.93487699993</v>
      </c>
      <c r="AB40" s="172">
        <f>R40*(1+'Page d''accueil'!$F$17)</f>
        <v>0</v>
      </c>
      <c r="AC40" s="172">
        <f>S40*(1+'Page d''accueil'!$F$17)</f>
        <v>366719.14790159999</v>
      </c>
      <c r="AD40" s="172">
        <f>V40*'Page d''accueil'!$F$14</f>
        <v>73343.829580319987</v>
      </c>
      <c r="AE40" s="172">
        <f>V40*'Page d''accueil'!$F$15</f>
        <v>114599.73371924998</v>
      </c>
      <c r="AF40" s="172">
        <f>V40*('Page d''accueil'!$F$17+1)</f>
        <v>470775.70611867891</v>
      </c>
      <c r="AG40" s="172">
        <f>W40*(1+'Page d''accueil'!$F$17)</f>
        <v>0</v>
      </c>
      <c r="AH40" s="172">
        <f>X40*(1+'Page d''accueil'!$F$17)</f>
        <v>0</v>
      </c>
      <c r="AI40" s="172">
        <f>Y40*(1+'Page d''accueil'!$F$17)</f>
        <v>376620.56489494315</v>
      </c>
      <c r="AJ40" s="172"/>
      <c r="AK40" s="172">
        <f>AA40*('Page d''accueil'!$F$17+1)</f>
        <v>470775.70611867891</v>
      </c>
      <c r="AL40" s="172">
        <f>AB40*(1+'Page d''accueil'!$F$17)</f>
        <v>0</v>
      </c>
      <c r="AM40" s="172">
        <f>AC40*(1+'Page d''accueil'!$F$17)</f>
        <v>376620.56489494315</v>
      </c>
      <c r="AN40" s="172">
        <f>AF40*'Page d''accueil'!$F$14</f>
        <v>75324.112978988633</v>
      </c>
      <c r="AO40" s="172">
        <f>AF40*'Page d''accueil'!$F$15</f>
        <v>117693.92652966973</v>
      </c>
      <c r="AP40" s="172">
        <f>AF40*('Page d''accueil'!$F$17+1)</f>
        <v>483486.6501838832</v>
      </c>
      <c r="AQ40" s="172">
        <f>AG40*(1+'Page d''accueil'!$F$17)</f>
        <v>0</v>
      </c>
      <c r="AR40" s="172">
        <f>AH40*(1+'Page d''accueil'!$F$17)</f>
        <v>0</v>
      </c>
      <c r="AS40" s="172">
        <f>AI40*(1+'Page d''accueil'!$F$17)</f>
        <v>386789.3201471066</v>
      </c>
      <c r="AT40" s="172">
        <f>AU40/10</f>
        <v>48348.665018388318</v>
      </c>
      <c r="AU40" s="172">
        <f>AK40*('Page d''accueil'!$F$17+1)</f>
        <v>483486.6501838832</v>
      </c>
      <c r="AV40" s="172">
        <f>AL40*(1+'Page d''accueil'!$F$17)</f>
        <v>0</v>
      </c>
      <c r="AW40" s="172">
        <f>AM40*(1+'Page d''accueil'!$F$17)</f>
        <v>386789.3201471066</v>
      </c>
      <c r="AX40" s="172">
        <f>AP40*'Page d''accueil'!$F$14</f>
        <v>77357.864029421311</v>
      </c>
      <c r="AY40" s="172">
        <f>AP40*'Page d''accueil'!$F$15</f>
        <v>120871.6625459708</v>
      </c>
    </row>
    <row r="41" spans="1:51" s="5" customFormat="1" ht="12" customHeight="1">
      <c r="A41" s="169">
        <v>38</v>
      </c>
      <c r="B41" s="170" t="s">
        <v>308</v>
      </c>
      <c r="C41" s="170" t="s">
        <v>314</v>
      </c>
      <c r="D41" s="171">
        <v>129027</v>
      </c>
      <c r="E41" s="171">
        <v>0</v>
      </c>
      <c r="F41" s="171">
        <v>0</v>
      </c>
      <c r="G41" s="171">
        <v>103221.6</v>
      </c>
      <c r="H41" s="171">
        <v>0</v>
      </c>
      <c r="I41" s="171">
        <v>103221.6</v>
      </c>
      <c r="J41" s="172">
        <v>0</v>
      </c>
      <c r="K41" s="172">
        <f>D41*'Page d''accueil'!$F$15</f>
        <v>32256.75</v>
      </c>
      <c r="L41" s="172">
        <f>D41*('Page d''accueil'!$F$17+1)</f>
        <v>132510.72899999999</v>
      </c>
      <c r="M41" s="172">
        <f>E41*(1+'Page d''accueil'!$F$17)</f>
        <v>0</v>
      </c>
      <c r="N41" s="172">
        <f>F41*(1+'Page d''accueil'!$F$17)</f>
        <v>0</v>
      </c>
      <c r="O41" s="172"/>
      <c r="P41" s="172">
        <v>132510.72899999999</v>
      </c>
      <c r="Q41" s="172">
        <f>G41*(1+'Page d''accueil'!$F$17)</f>
        <v>106008.58319999999</v>
      </c>
      <c r="R41" s="172">
        <f>H41*(1+'Page d''accueil'!$F$17)</f>
        <v>0</v>
      </c>
      <c r="S41" s="172">
        <f>I41*(1+'Page d''accueil'!$F$17)</f>
        <v>106008.58319999999</v>
      </c>
      <c r="T41" s="172">
        <f>L41*'Page d''accueil'!$F$14</f>
        <v>21201.716639999999</v>
      </c>
      <c r="U41" s="172">
        <f>L41*'Page d''accueil'!$F$15</f>
        <v>33127.682249999998</v>
      </c>
      <c r="V41" s="172">
        <f>L41*('Page d''accueil'!$F$17+1)</f>
        <v>136088.51868299997</v>
      </c>
      <c r="W41" s="172">
        <f>M41*(1+'Page d''accueil'!$F$17)</f>
        <v>0</v>
      </c>
      <c r="X41" s="172">
        <f>N41*(1+'Page d''accueil'!$F$17)</f>
        <v>0</v>
      </c>
      <c r="Y41" s="172">
        <f>Q41*(1+'Page d''accueil'!$F$17)</f>
        <v>108870.81494639999</v>
      </c>
      <c r="Z41" s="172"/>
      <c r="AA41" s="172">
        <v>136088.51868299997</v>
      </c>
      <c r="AB41" s="172">
        <f>R41*(1+'Page d''accueil'!$F$17)</f>
        <v>0</v>
      </c>
      <c r="AC41" s="172">
        <f>S41*(1+'Page d''accueil'!$F$17)</f>
        <v>108870.81494639999</v>
      </c>
      <c r="AD41" s="172">
        <f>V41*'Page d''accueil'!$F$14</f>
        <v>21774.162989279997</v>
      </c>
      <c r="AE41" s="172">
        <f>V41*'Page d''accueil'!$F$15</f>
        <v>34022.129670749993</v>
      </c>
      <c r="AF41" s="172">
        <f>V41*('Page d''accueil'!$F$17+1)</f>
        <v>139762.90868744097</v>
      </c>
      <c r="AG41" s="172">
        <f>W41*(1+'Page d''accueil'!$F$17)</f>
        <v>0</v>
      </c>
      <c r="AH41" s="172">
        <f>X41*(1+'Page d''accueil'!$F$17)</f>
        <v>0</v>
      </c>
      <c r="AI41" s="172">
        <f>Y41*(1+'Page d''accueil'!$F$17)</f>
        <v>111810.32694995278</v>
      </c>
      <c r="AJ41" s="172"/>
      <c r="AK41" s="172">
        <f>AA41*('Page d''accueil'!$F$17+1)</f>
        <v>139762.90868744097</v>
      </c>
      <c r="AL41" s="172">
        <f>AB41*(1+'Page d''accueil'!$F$17)</f>
        <v>0</v>
      </c>
      <c r="AM41" s="172">
        <f>AC41*(1+'Page d''accueil'!$F$17)</f>
        <v>111810.32694995278</v>
      </c>
      <c r="AN41" s="172">
        <f>AF41*'Page d''accueil'!$F$14</f>
        <v>22362.065389990556</v>
      </c>
      <c r="AO41" s="172">
        <f>AF41*'Page d''accueil'!$F$15</f>
        <v>34940.727171860242</v>
      </c>
      <c r="AP41" s="172">
        <f>AF41*('Page d''accueil'!$F$17+1)</f>
        <v>143536.50722200188</v>
      </c>
      <c r="AQ41" s="172">
        <f>AG41*(1+'Page d''accueil'!$F$17)</f>
        <v>0</v>
      </c>
      <c r="AR41" s="172">
        <f>AH41*(1+'Page d''accueil'!$F$17)</f>
        <v>0</v>
      </c>
      <c r="AS41" s="172">
        <f>AI41*(1+'Page d''accueil'!$F$17)</f>
        <v>114829.2057776015</v>
      </c>
      <c r="AT41" s="172"/>
      <c r="AU41" s="172">
        <f>AK41*('Page d''accueil'!$F$17+1)</f>
        <v>143536.50722200188</v>
      </c>
      <c r="AV41" s="172">
        <f>AL41*(1+'Page d''accueil'!$F$17)</f>
        <v>0</v>
      </c>
      <c r="AW41" s="172">
        <f>AM41*(1+'Page d''accueil'!$F$17)</f>
        <v>114829.2057776015</v>
      </c>
      <c r="AX41" s="172">
        <f>AP41*'Page d''accueil'!$F$14</f>
        <v>22965.841155520302</v>
      </c>
      <c r="AY41" s="172">
        <f>AP41*'Page d''accueil'!$F$15</f>
        <v>35884.126805500469</v>
      </c>
    </row>
    <row r="42" spans="1:51">
      <c r="A42" s="16"/>
      <c r="B42" s="16"/>
      <c r="AO42" s="15"/>
      <c r="AV42" s="16"/>
      <c r="AX42" s="15"/>
    </row>
    <row r="43" spans="1:51">
      <c r="A43" s="16"/>
      <c r="B43" s="16"/>
      <c r="AO43" s="15"/>
      <c r="AV43" s="16"/>
      <c r="AX43" s="15"/>
    </row>
  </sheetData>
  <mergeCells count="8">
    <mergeCell ref="V1:AE1"/>
    <mergeCell ref="AF1:AO1"/>
    <mergeCell ref="AP1:AY1"/>
    <mergeCell ref="A1:A3"/>
    <mergeCell ref="B1:B3"/>
    <mergeCell ref="C1:C3"/>
    <mergeCell ref="D1:K1"/>
    <mergeCell ref="L1:U1"/>
  </mergeCells>
  <printOptions horizontalCentered="1"/>
  <pageMargins left="0.74791666666666701" right="0.74791666666666701" top="0.59027777777777801" bottom="0.51180555555555596" header="0.51180555555555596" footer="0.51180555555555596"/>
  <pageSetup paperSize="8" scale="4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1"/>
  </sheetPr>
  <dimension ref="A1:AZ60"/>
  <sheetViews>
    <sheetView showGridLines="0" view="pageBreakPreview" topLeftCell="B1" zoomScale="208" zoomScaleNormal="100" zoomScaleSheetLayoutView="208" workbookViewId="0">
      <selection activeCell="B1" sqref="B1:B3"/>
    </sheetView>
  </sheetViews>
  <sheetFormatPr baseColWidth="10" defaultColWidth="9.140625" defaultRowHeight="12.75"/>
  <cols>
    <col min="1" max="1" width="4.42578125" style="15" customWidth="1"/>
    <col min="2" max="3" width="21.5703125" style="15" customWidth="1"/>
    <col min="4" max="4" width="10.28515625" style="15" customWidth="1"/>
    <col min="5" max="5" width="6.28515625" style="15" customWidth="1"/>
    <col min="6" max="6" width="6.7109375" style="15" customWidth="1"/>
    <col min="7" max="10" width="5.28515625" style="15" customWidth="1"/>
    <col min="11" max="11" width="9.85546875" style="15" customWidth="1"/>
    <col min="12" max="17" width="5.5703125" style="16" customWidth="1"/>
    <col min="18" max="18" width="9.85546875" style="16" customWidth="1"/>
    <col min="19" max="24" width="5.85546875" style="16" customWidth="1"/>
    <col min="25" max="25" width="10.7109375" style="16" customWidth="1"/>
    <col min="26" max="31" width="5.28515625" style="16" customWidth="1"/>
    <col min="32" max="32" width="10.7109375" style="16" customWidth="1"/>
    <col min="33" max="38" width="5.85546875" style="16" customWidth="1"/>
    <col min="39" max="39" width="9.140625" style="16" customWidth="1"/>
    <col min="40" max="16384" width="9.140625" style="16"/>
  </cols>
  <sheetData>
    <row r="1" spans="1:52" ht="15" customHeight="1">
      <c r="A1" s="295" t="s">
        <v>51</v>
      </c>
      <c r="B1" s="296" t="s">
        <v>52</v>
      </c>
      <c r="C1" s="295" t="s">
        <v>53</v>
      </c>
      <c r="D1" s="326" t="s">
        <v>560</v>
      </c>
      <c r="E1" s="326"/>
      <c r="F1" s="326"/>
      <c r="G1" s="326"/>
      <c r="H1" s="326"/>
      <c r="I1" s="326"/>
      <c r="J1" s="326"/>
      <c r="K1" s="326" t="s">
        <v>561</v>
      </c>
      <c r="L1" s="326"/>
      <c r="M1" s="326"/>
      <c r="N1" s="326"/>
      <c r="O1" s="326"/>
      <c r="P1" s="326"/>
      <c r="Q1" s="326"/>
      <c r="R1" s="326" t="s">
        <v>61</v>
      </c>
      <c r="S1" s="326"/>
      <c r="T1" s="326"/>
      <c r="U1" s="326"/>
      <c r="V1" s="326"/>
      <c r="W1" s="326"/>
      <c r="X1" s="326"/>
      <c r="Y1" s="326" t="s">
        <v>62</v>
      </c>
      <c r="Z1" s="326"/>
      <c r="AA1" s="326"/>
      <c r="AB1" s="326"/>
      <c r="AC1" s="326"/>
      <c r="AD1" s="326"/>
      <c r="AE1" s="326"/>
      <c r="AF1" s="326" t="s">
        <v>63</v>
      </c>
      <c r="AG1" s="326"/>
      <c r="AH1" s="326"/>
      <c r="AI1" s="326"/>
      <c r="AJ1" s="326"/>
      <c r="AK1" s="326"/>
      <c r="AL1" s="326"/>
      <c r="AM1" s="327" t="s">
        <v>64</v>
      </c>
      <c r="AN1" s="327"/>
      <c r="AO1" s="327"/>
      <c r="AP1" s="327"/>
      <c r="AQ1" s="327"/>
      <c r="AR1" s="327"/>
      <c r="AS1" s="327"/>
      <c r="AT1" s="326" t="s">
        <v>65</v>
      </c>
      <c r="AU1" s="326"/>
      <c r="AV1" s="326"/>
      <c r="AW1" s="326"/>
      <c r="AX1" s="326"/>
      <c r="AY1" s="326"/>
      <c r="AZ1" s="326"/>
    </row>
    <row r="2" spans="1:52" s="5" customFormat="1" ht="15" customHeight="1">
      <c r="A2" s="295"/>
      <c r="B2" s="297"/>
      <c r="C2" s="295"/>
      <c r="D2" s="295" t="s">
        <v>66</v>
      </c>
      <c r="E2" s="326" t="s">
        <v>67</v>
      </c>
      <c r="F2" s="326"/>
      <c r="G2" s="326"/>
      <c r="H2" s="326"/>
      <c r="I2" s="326"/>
      <c r="J2" s="326"/>
      <c r="K2" s="295" t="s">
        <v>66</v>
      </c>
      <c r="L2" s="326" t="s">
        <v>67</v>
      </c>
      <c r="M2" s="326"/>
      <c r="N2" s="326"/>
      <c r="O2" s="326"/>
      <c r="P2" s="326"/>
      <c r="Q2" s="326"/>
      <c r="R2" s="295" t="s">
        <v>66</v>
      </c>
      <c r="S2" s="326" t="s">
        <v>67</v>
      </c>
      <c r="T2" s="326"/>
      <c r="U2" s="326"/>
      <c r="V2" s="326"/>
      <c r="W2" s="326"/>
      <c r="X2" s="326"/>
      <c r="Y2" s="295" t="s">
        <v>66</v>
      </c>
      <c r="Z2" s="326" t="s">
        <v>67</v>
      </c>
      <c r="AA2" s="326"/>
      <c r="AB2" s="326"/>
      <c r="AC2" s="326"/>
      <c r="AD2" s="326"/>
      <c r="AE2" s="326"/>
      <c r="AF2" s="295" t="s">
        <v>66</v>
      </c>
      <c r="AG2" s="326" t="s">
        <v>67</v>
      </c>
      <c r="AH2" s="326"/>
      <c r="AI2" s="326"/>
      <c r="AJ2" s="326"/>
      <c r="AK2" s="326"/>
      <c r="AL2" s="326"/>
      <c r="AM2" s="295" t="s">
        <v>66</v>
      </c>
      <c r="AN2" s="326" t="s">
        <v>67</v>
      </c>
      <c r="AO2" s="326"/>
      <c r="AP2" s="326"/>
      <c r="AQ2" s="326"/>
      <c r="AR2" s="326"/>
      <c r="AS2" s="326"/>
      <c r="AT2" s="295" t="s">
        <v>66</v>
      </c>
      <c r="AU2" s="326" t="s">
        <v>67</v>
      </c>
      <c r="AV2" s="326"/>
      <c r="AW2" s="326"/>
      <c r="AX2" s="326"/>
      <c r="AY2" s="326"/>
      <c r="AZ2" s="326"/>
    </row>
    <row r="3" spans="1:52" s="5" customFormat="1" ht="14.25" customHeight="1">
      <c r="A3" s="295"/>
      <c r="B3" s="298"/>
      <c r="C3" s="295"/>
      <c r="D3" s="295"/>
      <c r="E3" s="156">
        <v>2017</v>
      </c>
      <c r="F3" s="229">
        <v>2018</v>
      </c>
      <c r="G3" s="229">
        <f t="shared" ref="G3" si="0">F3+1</f>
        <v>2019</v>
      </c>
      <c r="H3" s="229">
        <f t="shared" ref="H3" si="1">G3+1</f>
        <v>2020</v>
      </c>
      <c r="I3" s="229">
        <f t="shared" ref="I3" si="2">H3+1</f>
        <v>2021</v>
      </c>
      <c r="J3" s="229">
        <f t="shared" ref="J3" si="3">I3+1</f>
        <v>2022</v>
      </c>
      <c r="K3" s="295"/>
      <c r="L3" s="156">
        <v>2017</v>
      </c>
      <c r="M3" s="229">
        <v>2018</v>
      </c>
      <c r="N3" s="229">
        <f t="shared" ref="N3" si="4">M3+1</f>
        <v>2019</v>
      </c>
      <c r="O3" s="229">
        <f t="shared" ref="O3" si="5">N3+1</f>
        <v>2020</v>
      </c>
      <c r="P3" s="229">
        <f t="shared" ref="P3" si="6">O3+1</f>
        <v>2021</v>
      </c>
      <c r="Q3" s="229">
        <f t="shared" ref="Q3" si="7">P3+1</f>
        <v>2022</v>
      </c>
      <c r="R3" s="295"/>
      <c r="S3" s="156">
        <f>T3-1</f>
        <v>2017</v>
      </c>
      <c r="T3" s="17">
        <f>'Page d''accueil'!F5</f>
        <v>2018</v>
      </c>
      <c r="U3" s="17">
        <f>T3+1</f>
        <v>2019</v>
      </c>
      <c r="V3" s="17">
        <f>U3+1</f>
        <v>2020</v>
      </c>
      <c r="W3" s="17">
        <f t="shared" ref="W3:AE3" si="8">V3+1</f>
        <v>2021</v>
      </c>
      <c r="X3" s="17">
        <f t="shared" si="8"/>
        <v>2022</v>
      </c>
      <c r="Y3" s="295"/>
      <c r="Z3" s="156">
        <f>T3-1</f>
        <v>2017</v>
      </c>
      <c r="AA3" s="17">
        <f>'Page d''accueil'!F5</f>
        <v>2018</v>
      </c>
      <c r="AB3" s="17">
        <f t="shared" si="8"/>
        <v>2019</v>
      </c>
      <c r="AC3" s="17">
        <f t="shared" si="8"/>
        <v>2020</v>
      </c>
      <c r="AD3" s="17">
        <f t="shared" si="8"/>
        <v>2021</v>
      </c>
      <c r="AE3" s="17">
        <f t="shared" si="8"/>
        <v>2022</v>
      </c>
      <c r="AF3" s="295"/>
      <c r="AG3" s="156">
        <f>T3-1</f>
        <v>2017</v>
      </c>
      <c r="AH3" s="17">
        <f>'Page d''accueil'!F5</f>
        <v>2018</v>
      </c>
      <c r="AI3" s="17">
        <f t="shared" ref="AI3:AL3" si="9">AH3+1</f>
        <v>2019</v>
      </c>
      <c r="AJ3" s="17">
        <f t="shared" si="9"/>
        <v>2020</v>
      </c>
      <c r="AK3" s="17">
        <f t="shared" si="9"/>
        <v>2021</v>
      </c>
      <c r="AL3" s="17">
        <f t="shared" si="9"/>
        <v>2022</v>
      </c>
      <c r="AM3" s="295"/>
      <c r="AN3" s="156">
        <f>T3-1</f>
        <v>2017</v>
      </c>
      <c r="AO3" s="17">
        <f>'Page d''accueil'!F5</f>
        <v>2018</v>
      </c>
      <c r="AP3" s="17">
        <f t="shared" ref="AP3:AS3" si="10">AO3+1</f>
        <v>2019</v>
      </c>
      <c r="AQ3" s="17">
        <f t="shared" si="10"/>
        <v>2020</v>
      </c>
      <c r="AR3" s="17">
        <f t="shared" si="10"/>
        <v>2021</v>
      </c>
      <c r="AS3" s="17">
        <f t="shared" si="10"/>
        <v>2022</v>
      </c>
      <c r="AT3" s="295"/>
      <c r="AU3" s="156">
        <f>T3-1</f>
        <v>2017</v>
      </c>
      <c r="AV3" s="17">
        <f>'Page d''accueil'!F5</f>
        <v>2018</v>
      </c>
      <c r="AW3" s="17">
        <f t="shared" ref="AW3:AZ3" si="11">AV3+1</f>
        <v>2019</v>
      </c>
      <c r="AX3" s="17">
        <f t="shared" si="11"/>
        <v>2020</v>
      </c>
      <c r="AY3" s="17">
        <f t="shared" si="11"/>
        <v>2021</v>
      </c>
      <c r="AZ3" s="17">
        <f t="shared" si="11"/>
        <v>2022</v>
      </c>
    </row>
    <row r="4" spans="1:52" s="5" customFormat="1" ht="12" customHeight="1">
      <c r="A4" s="19">
        <v>1</v>
      </c>
      <c r="B4" s="21" t="str">
        <f>Population!B4</f>
        <v>BOKE</v>
      </c>
      <c r="C4" s="21" t="str">
        <f>Population!C4</f>
        <v>Boffa</v>
      </c>
      <c r="D4" s="157">
        <v>1</v>
      </c>
      <c r="E4" s="157">
        <v>0</v>
      </c>
      <c r="F4" s="157">
        <v>0</v>
      </c>
      <c r="G4" s="157">
        <v>0</v>
      </c>
      <c r="H4" s="157">
        <v>0</v>
      </c>
      <c r="I4" s="157">
        <v>0</v>
      </c>
      <c r="J4" s="157">
        <v>0</v>
      </c>
      <c r="K4" s="157">
        <v>1</v>
      </c>
      <c r="L4" s="157">
        <v>0</v>
      </c>
      <c r="M4" s="157">
        <v>0</v>
      </c>
      <c r="N4" s="157">
        <v>0</v>
      </c>
      <c r="O4" s="157">
        <v>0</v>
      </c>
      <c r="P4" s="157">
        <v>0</v>
      </c>
      <c r="Q4" s="157">
        <v>0</v>
      </c>
      <c r="R4" s="157">
        <v>0</v>
      </c>
      <c r="S4" s="157">
        <v>0</v>
      </c>
      <c r="T4" s="157">
        <v>0</v>
      </c>
      <c r="U4" s="157">
        <v>0</v>
      </c>
      <c r="V4" s="157">
        <v>0</v>
      </c>
      <c r="W4" s="157">
        <v>0</v>
      </c>
      <c r="X4" s="157">
        <v>0</v>
      </c>
      <c r="Y4" s="157">
        <v>0</v>
      </c>
      <c r="Z4" s="157">
        <v>0</v>
      </c>
      <c r="AA4" s="157">
        <v>0</v>
      </c>
      <c r="AB4" s="157">
        <v>0</v>
      </c>
      <c r="AC4" s="157">
        <v>0</v>
      </c>
      <c r="AD4" s="157">
        <v>0</v>
      </c>
      <c r="AE4" s="157">
        <v>0</v>
      </c>
      <c r="AF4" s="157">
        <v>0</v>
      </c>
      <c r="AG4" s="157">
        <v>0</v>
      </c>
      <c r="AH4" s="157">
        <v>0</v>
      </c>
      <c r="AI4" s="157">
        <v>0</v>
      </c>
      <c r="AJ4" s="157">
        <v>0</v>
      </c>
      <c r="AK4" s="157">
        <v>0</v>
      </c>
      <c r="AL4" s="157">
        <v>0</v>
      </c>
      <c r="AM4" s="157">
        <v>0</v>
      </c>
      <c r="AN4" s="157">
        <v>0</v>
      </c>
      <c r="AO4" s="157">
        <v>0</v>
      </c>
      <c r="AP4" s="157">
        <v>0</v>
      </c>
      <c r="AQ4" s="157">
        <v>0</v>
      </c>
      <c r="AR4" s="157">
        <v>0</v>
      </c>
      <c r="AS4" s="157">
        <v>0</v>
      </c>
      <c r="AT4" s="157">
        <v>0</v>
      </c>
      <c r="AU4" s="157">
        <v>0</v>
      </c>
      <c r="AV4" s="157">
        <v>0</v>
      </c>
      <c r="AW4" s="157">
        <v>0</v>
      </c>
      <c r="AX4" s="157">
        <v>0</v>
      </c>
      <c r="AY4" s="157">
        <v>0</v>
      </c>
      <c r="AZ4" s="157">
        <v>0</v>
      </c>
    </row>
    <row r="5" spans="1:52" s="5" customFormat="1" ht="12" customHeight="1">
      <c r="A5" s="19">
        <v>2</v>
      </c>
      <c r="B5" s="21" t="str">
        <f>Population!B5</f>
        <v>BOKE</v>
      </c>
      <c r="C5" s="21" t="str">
        <f>Population!C5</f>
        <v>Boké</v>
      </c>
      <c r="D5" s="157">
        <v>2</v>
      </c>
      <c r="E5" s="157">
        <v>0</v>
      </c>
      <c r="F5" s="157">
        <v>0</v>
      </c>
      <c r="G5" s="157">
        <v>0</v>
      </c>
      <c r="H5" s="157">
        <v>0</v>
      </c>
      <c r="I5" s="157">
        <v>0</v>
      </c>
      <c r="J5" s="157">
        <v>0</v>
      </c>
      <c r="K5" s="157">
        <v>1</v>
      </c>
      <c r="L5" s="157">
        <v>0</v>
      </c>
      <c r="M5" s="157">
        <v>0</v>
      </c>
      <c r="N5" s="157">
        <v>0</v>
      </c>
      <c r="O5" s="157">
        <v>0</v>
      </c>
      <c r="P5" s="157">
        <v>0</v>
      </c>
      <c r="Q5" s="157">
        <v>0</v>
      </c>
      <c r="R5" s="157">
        <v>1</v>
      </c>
      <c r="S5" s="157">
        <v>1</v>
      </c>
      <c r="T5" s="157">
        <v>1</v>
      </c>
      <c r="U5" s="157">
        <v>1</v>
      </c>
      <c r="V5" s="157">
        <v>1</v>
      </c>
      <c r="W5" s="157">
        <v>1</v>
      </c>
      <c r="X5" s="157">
        <v>1</v>
      </c>
      <c r="Y5" s="157">
        <v>0</v>
      </c>
      <c r="Z5" s="157">
        <v>0</v>
      </c>
      <c r="AA5" s="157">
        <v>0</v>
      </c>
      <c r="AB5" s="157">
        <v>0</v>
      </c>
      <c r="AC5" s="157">
        <v>0</v>
      </c>
      <c r="AD5" s="157">
        <v>0</v>
      </c>
      <c r="AE5" s="157">
        <v>0</v>
      </c>
      <c r="AF5" s="157">
        <v>1</v>
      </c>
      <c r="AG5" s="157">
        <v>1</v>
      </c>
      <c r="AH5" s="157">
        <v>0</v>
      </c>
      <c r="AI5" s="157">
        <v>0</v>
      </c>
      <c r="AJ5" s="157">
        <v>1</v>
      </c>
      <c r="AK5" s="157">
        <v>0</v>
      </c>
      <c r="AL5" s="157">
        <v>0</v>
      </c>
      <c r="AM5" s="157">
        <v>0</v>
      </c>
      <c r="AN5" s="157">
        <v>0</v>
      </c>
      <c r="AO5" s="157">
        <v>0</v>
      </c>
      <c r="AP5" s="157">
        <v>0</v>
      </c>
      <c r="AQ5" s="157">
        <v>0</v>
      </c>
      <c r="AR5" s="157">
        <v>0</v>
      </c>
      <c r="AS5" s="157">
        <v>0</v>
      </c>
      <c r="AT5" s="157">
        <v>1</v>
      </c>
      <c r="AU5" s="157">
        <v>1</v>
      </c>
      <c r="AV5" s="157">
        <v>0</v>
      </c>
      <c r="AW5" s="157">
        <v>0</v>
      </c>
      <c r="AX5" s="157">
        <v>0</v>
      </c>
      <c r="AY5" s="157">
        <v>0</v>
      </c>
      <c r="AZ5" s="157">
        <v>0</v>
      </c>
    </row>
    <row r="6" spans="1:52" s="5" customFormat="1" ht="12" customHeight="1">
      <c r="A6" s="19">
        <v>3</v>
      </c>
      <c r="B6" s="21" t="str">
        <f>Population!B6</f>
        <v>BOKE</v>
      </c>
      <c r="C6" s="21" t="str">
        <f>Population!C6</f>
        <v>Fria</v>
      </c>
      <c r="D6" s="157">
        <v>0</v>
      </c>
      <c r="E6" s="157">
        <v>0</v>
      </c>
      <c r="F6" s="157">
        <v>0</v>
      </c>
      <c r="G6" s="157">
        <v>0</v>
      </c>
      <c r="H6" s="157">
        <v>0</v>
      </c>
      <c r="I6" s="157">
        <v>0</v>
      </c>
      <c r="J6" s="157">
        <v>0</v>
      </c>
      <c r="K6" s="157">
        <v>1</v>
      </c>
      <c r="L6" s="157">
        <v>0</v>
      </c>
      <c r="M6" s="157">
        <v>0</v>
      </c>
      <c r="N6" s="157">
        <v>0</v>
      </c>
      <c r="O6" s="157">
        <v>0</v>
      </c>
      <c r="P6" s="157">
        <v>0</v>
      </c>
      <c r="Q6" s="157">
        <v>0</v>
      </c>
      <c r="R6" s="157">
        <v>0</v>
      </c>
      <c r="S6" s="157">
        <v>0</v>
      </c>
      <c r="T6" s="157">
        <v>0</v>
      </c>
      <c r="U6" s="157">
        <v>0</v>
      </c>
      <c r="V6" s="157">
        <v>0</v>
      </c>
      <c r="W6" s="157">
        <v>0</v>
      </c>
      <c r="X6" s="157">
        <v>0</v>
      </c>
      <c r="Y6" s="157">
        <v>0</v>
      </c>
      <c r="Z6" s="157">
        <v>0</v>
      </c>
      <c r="AA6" s="157">
        <v>0</v>
      </c>
      <c r="AB6" s="157">
        <v>0</v>
      </c>
      <c r="AC6" s="157">
        <v>0</v>
      </c>
      <c r="AD6" s="157">
        <v>0</v>
      </c>
      <c r="AE6" s="157">
        <v>0</v>
      </c>
      <c r="AF6" s="157">
        <v>1</v>
      </c>
      <c r="AG6" s="157">
        <v>0</v>
      </c>
      <c r="AH6" s="157">
        <v>1</v>
      </c>
      <c r="AI6" s="157">
        <v>0</v>
      </c>
      <c r="AJ6" s="157">
        <v>0</v>
      </c>
      <c r="AK6" s="157">
        <v>1</v>
      </c>
      <c r="AL6" s="157">
        <v>0</v>
      </c>
      <c r="AM6" s="157">
        <v>0</v>
      </c>
      <c r="AN6" s="157">
        <v>0</v>
      </c>
      <c r="AO6" s="157">
        <v>0</v>
      </c>
      <c r="AP6" s="157">
        <v>0</v>
      </c>
      <c r="AQ6" s="157">
        <v>0</v>
      </c>
      <c r="AR6" s="157">
        <v>0</v>
      </c>
      <c r="AS6" s="157">
        <v>0</v>
      </c>
      <c r="AT6" s="157">
        <v>1</v>
      </c>
      <c r="AU6" s="157">
        <v>1</v>
      </c>
      <c r="AV6" s="157">
        <v>0</v>
      </c>
      <c r="AW6" s="157">
        <v>0</v>
      </c>
      <c r="AX6" s="157">
        <v>0</v>
      </c>
      <c r="AY6" s="157">
        <v>0</v>
      </c>
      <c r="AZ6" s="157">
        <v>0</v>
      </c>
    </row>
    <row r="7" spans="1:52" s="5" customFormat="1" ht="12" customHeight="1">
      <c r="A7" s="19">
        <v>4</v>
      </c>
      <c r="B7" s="21" t="str">
        <f>Population!B7</f>
        <v>BOKE</v>
      </c>
      <c r="C7" s="21" t="str">
        <f>Population!C7</f>
        <v>Gaoual</v>
      </c>
      <c r="D7" s="157">
        <v>0</v>
      </c>
      <c r="E7" s="157">
        <v>0</v>
      </c>
      <c r="F7" s="157">
        <v>0</v>
      </c>
      <c r="G7" s="157">
        <v>0</v>
      </c>
      <c r="H7" s="157">
        <v>0</v>
      </c>
      <c r="I7" s="157">
        <v>0</v>
      </c>
      <c r="J7" s="157">
        <v>0</v>
      </c>
      <c r="K7" s="157">
        <v>1</v>
      </c>
      <c r="L7" s="157">
        <v>0</v>
      </c>
      <c r="M7" s="157">
        <v>0</v>
      </c>
      <c r="N7" s="157">
        <v>0</v>
      </c>
      <c r="O7" s="157">
        <v>0</v>
      </c>
      <c r="P7" s="157">
        <v>0</v>
      </c>
      <c r="Q7" s="157">
        <v>0</v>
      </c>
      <c r="R7" s="157">
        <v>1</v>
      </c>
      <c r="S7" s="157">
        <v>1</v>
      </c>
      <c r="T7" s="157">
        <v>1</v>
      </c>
      <c r="U7" s="157">
        <v>1</v>
      </c>
      <c r="V7" s="157">
        <v>1</v>
      </c>
      <c r="W7" s="157">
        <v>1</v>
      </c>
      <c r="X7" s="157">
        <v>1</v>
      </c>
      <c r="Y7" s="157">
        <v>1</v>
      </c>
      <c r="Z7" s="157">
        <v>1</v>
      </c>
      <c r="AA7" s="157">
        <v>1</v>
      </c>
      <c r="AB7" s="157">
        <v>1</v>
      </c>
      <c r="AC7" s="157">
        <v>1</v>
      </c>
      <c r="AD7" s="157">
        <v>1</v>
      </c>
      <c r="AE7" s="157">
        <v>1</v>
      </c>
      <c r="AF7" s="157">
        <v>1</v>
      </c>
      <c r="AG7" s="157">
        <v>1</v>
      </c>
      <c r="AH7" s="157">
        <v>1</v>
      </c>
      <c r="AI7" s="157">
        <v>1</v>
      </c>
      <c r="AJ7" s="157">
        <v>1</v>
      </c>
      <c r="AK7" s="157">
        <v>1</v>
      </c>
      <c r="AL7" s="157">
        <v>1</v>
      </c>
      <c r="AM7" s="157">
        <v>0</v>
      </c>
      <c r="AN7" s="157">
        <v>0</v>
      </c>
      <c r="AO7" s="157">
        <v>0</v>
      </c>
      <c r="AP7" s="157">
        <v>0</v>
      </c>
      <c r="AQ7" s="157">
        <v>0</v>
      </c>
      <c r="AR7" s="157">
        <v>0</v>
      </c>
      <c r="AS7" s="157">
        <v>0</v>
      </c>
      <c r="AT7" s="157">
        <v>0</v>
      </c>
      <c r="AU7" s="157">
        <v>0</v>
      </c>
      <c r="AV7" s="157">
        <v>0</v>
      </c>
      <c r="AW7" s="157">
        <v>0</v>
      </c>
      <c r="AX7" s="157">
        <v>0</v>
      </c>
      <c r="AY7" s="157">
        <v>0</v>
      </c>
      <c r="AZ7" s="157">
        <v>0</v>
      </c>
    </row>
    <row r="8" spans="1:52" s="5" customFormat="1" ht="12" customHeight="1">
      <c r="A8" s="19">
        <v>5</v>
      </c>
      <c r="B8" s="21" t="str">
        <f>Population!B8</f>
        <v>BOKE</v>
      </c>
      <c r="C8" s="21" t="str">
        <f>Population!C8</f>
        <v>Koundara</v>
      </c>
      <c r="D8" s="157">
        <v>0</v>
      </c>
      <c r="E8" s="157">
        <v>0</v>
      </c>
      <c r="F8" s="157">
        <v>0</v>
      </c>
      <c r="G8" s="157">
        <v>0</v>
      </c>
      <c r="H8" s="157">
        <v>0</v>
      </c>
      <c r="I8" s="157">
        <v>0</v>
      </c>
      <c r="J8" s="157">
        <v>0</v>
      </c>
      <c r="K8" s="157">
        <v>1</v>
      </c>
      <c r="L8" s="157">
        <v>0</v>
      </c>
      <c r="M8" s="157">
        <v>0</v>
      </c>
      <c r="N8" s="157">
        <v>0</v>
      </c>
      <c r="O8" s="157">
        <v>0</v>
      </c>
      <c r="P8" s="157">
        <v>0</v>
      </c>
      <c r="Q8" s="157">
        <v>0</v>
      </c>
      <c r="R8" s="157">
        <v>1</v>
      </c>
      <c r="S8" s="157">
        <v>1</v>
      </c>
      <c r="T8" s="157">
        <v>1</v>
      </c>
      <c r="U8" s="157">
        <v>1</v>
      </c>
      <c r="V8" s="157">
        <v>1</v>
      </c>
      <c r="W8" s="157">
        <v>1</v>
      </c>
      <c r="X8" s="157">
        <v>1</v>
      </c>
      <c r="Y8" s="157">
        <v>1</v>
      </c>
      <c r="Z8" s="157">
        <v>1</v>
      </c>
      <c r="AA8" s="157">
        <v>1</v>
      </c>
      <c r="AB8" s="157">
        <v>1</v>
      </c>
      <c r="AC8" s="157">
        <v>1</v>
      </c>
      <c r="AD8" s="157">
        <v>1</v>
      </c>
      <c r="AE8" s="157">
        <v>1</v>
      </c>
      <c r="AF8" s="157">
        <v>1</v>
      </c>
      <c r="AG8" s="157">
        <v>0</v>
      </c>
      <c r="AH8" s="157">
        <v>1</v>
      </c>
      <c r="AI8" s="157">
        <v>0</v>
      </c>
      <c r="AJ8" s="157">
        <v>1</v>
      </c>
      <c r="AK8" s="157">
        <v>0</v>
      </c>
      <c r="AL8" s="157">
        <v>1</v>
      </c>
      <c r="AM8" s="157">
        <v>0</v>
      </c>
      <c r="AN8" s="157">
        <v>0</v>
      </c>
      <c r="AO8" s="157">
        <v>0</v>
      </c>
      <c r="AP8" s="157">
        <v>0</v>
      </c>
      <c r="AQ8" s="157">
        <v>0</v>
      </c>
      <c r="AR8" s="157">
        <v>0</v>
      </c>
      <c r="AS8" s="157">
        <v>0</v>
      </c>
      <c r="AT8" s="157">
        <v>1</v>
      </c>
      <c r="AU8" s="157">
        <v>0</v>
      </c>
      <c r="AV8" s="157">
        <v>0</v>
      </c>
      <c r="AW8" s="157">
        <v>0</v>
      </c>
      <c r="AX8" s="157">
        <v>0</v>
      </c>
      <c r="AY8" s="157">
        <v>0</v>
      </c>
      <c r="AZ8" s="157">
        <v>0</v>
      </c>
    </row>
    <row r="9" spans="1:52" s="5" customFormat="1" ht="12" customHeight="1">
      <c r="A9" s="19">
        <v>6</v>
      </c>
      <c r="B9" s="21" t="str">
        <f>Population!B9</f>
        <v>CONAKRY</v>
      </c>
      <c r="C9" s="21" t="str">
        <f>Population!C9</f>
        <v>Dixinn</v>
      </c>
      <c r="D9" s="157">
        <v>1</v>
      </c>
      <c r="E9" s="157">
        <v>0</v>
      </c>
      <c r="F9" s="157">
        <v>0</v>
      </c>
      <c r="G9" s="157">
        <v>0</v>
      </c>
      <c r="H9" s="157">
        <v>0</v>
      </c>
      <c r="I9" s="157">
        <v>0</v>
      </c>
      <c r="J9" s="157">
        <v>0</v>
      </c>
      <c r="K9" s="157">
        <v>1</v>
      </c>
      <c r="L9" s="157">
        <v>0</v>
      </c>
      <c r="M9" s="157">
        <v>0</v>
      </c>
      <c r="N9" s="157">
        <v>0</v>
      </c>
      <c r="O9" s="157">
        <v>0</v>
      </c>
      <c r="P9" s="157">
        <v>0</v>
      </c>
      <c r="Q9" s="157">
        <v>0</v>
      </c>
      <c r="R9" s="157">
        <v>0</v>
      </c>
      <c r="S9" s="157">
        <v>0</v>
      </c>
      <c r="T9" s="157">
        <v>0</v>
      </c>
      <c r="U9" s="157">
        <v>0</v>
      </c>
      <c r="V9" s="157">
        <v>0</v>
      </c>
      <c r="W9" s="157">
        <v>0</v>
      </c>
      <c r="X9" s="157">
        <v>0</v>
      </c>
      <c r="Y9" s="157">
        <v>0</v>
      </c>
      <c r="Z9" s="157">
        <v>0</v>
      </c>
      <c r="AA9" s="157">
        <v>0</v>
      </c>
      <c r="AB9" s="157">
        <v>0</v>
      </c>
      <c r="AC9" s="157">
        <v>0</v>
      </c>
      <c r="AD9" s="157">
        <v>0</v>
      </c>
      <c r="AE9" s="157">
        <v>0</v>
      </c>
      <c r="AF9" s="157">
        <v>0</v>
      </c>
      <c r="AG9" s="157">
        <v>1</v>
      </c>
      <c r="AH9" s="157">
        <v>0</v>
      </c>
      <c r="AI9" s="157">
        <v>0</v>
      </c>
      <c r="AJ9" s="157">
        <v>0</v>
      </c>
      <c r="AK9" s="157">
        <v>0</v>
      </c>
      <c r="AL9" s="157">
        <v>0</v>
      </c>
      <c r="AM9" s="157">
        <v>0</v>
      </c>
      <c r="AN9" s="157">
        <v>0</v>
      </c>
      <c r="AO9" s="157">
        <v>0</v>
      </c>
      <c r="AP9" s="157">
        <v>0</v>
      </c>
      <c r="AQ9" s="157">
        <v>0</v>
      </c>
      <c r="AR9" s="157">
        <v>0</v>
      </c>
      <c r="AS9" s="157">
        <v>0</v>
      </c>
      <c r="AT9" s="157">
        <v>0</v>
      </c>
      <c r="AU9" s="157">
        <v>0</v>
      </c>
      <c r="AV9" s="157">
        <v>0</v>
      </c>
      <c r="AW9" s="157">
        <v>0</v>
      </c>
      <c r="AX9" s="157">
        <v>0</v>
      </c>
      <c r="AY9" s="157">
        <v>0</v>
      </c>
      <c r="AZ9" s="157">
        <v>0</v>
      </c>
    </row>
    <row r="10" spans="1:52" s="5" customFormat="1" ht="12" customHeight="1">
      <c r="A10" s="19">
        <v>7</v>
      </c>
      <c r="B10" s="21" t="str">
        <f>Population!B10</f>
        <v>CONAKRY</v>
      </c>
      <c r="C10" s="21" t="str">
        <f>Population!C10</f>
        <v>Kaloum</v>
      </c>
      <c r="D10" s="157">
        <v>0</v>
      </c>
      <c r="E10" s="157">
        <v>0</v>
      </c>
      <c r="F10" s="157">
        <v>0</v>
      </c>
      <c r="G10" s="157">
        <v>0</v>
      </c>
      <c r="H10" s="157">
        <v>0</v>
      </c>
      <c r="I10" s="157">
        <v>0</v>
      </c>
      <c r="J10" s="157">
        <v>0</v>
      </c>
      <c r="K10" s="157">
        <v>1</v>
      </c>
      <c r="L10" s="157">
        <v>0</v>
      </c>
      <c r="M10" s="157">
        <v>0</v>
      </c>
      <c r="N10" s="157">
        <v>0</v>
      </c>
      <c r="O10" s="157">
        <v>0</v>
      </c>
      <c r="P10" s="157">
        <v>0</v>
      </c>
      <c r="Q10" s="157">
        <v>0</v>
      </c>
      <c r="R10" s="157">
        <v>0</v>
      </c>
      <c r="S10" s="157">
        <v>0</v>
      </c>
      <c r="T10" s="157">
        <v>0</v>
      </c>
      <c r="U10" s="157">
        <v>0</v>
      </c>
      <c r="V10" s="157">
        <v>0</v>
      </c>
      <c r="W10" s="157">
        <v>0</v>
      </c>
      <c r="X10" s="157">
        <v>0</v>
      </c>
      <c r="Y10" s="157">
        <v>0</v>
      </c>
      <c r="Z10" s="157">
        <v>0</v>
      </c>
      <c r="AA10" s="157">
        <v>0</v>
      </c>
      <c r="AB10" s="157">
        <v>0</v>
      </c>
      <c r="AC10" s="157">
        <v>0</v>
      </c>
      <c r="AD10" s="157">
        <v>0</v>
      </c>
      <c r="AE10" s="157">
        <v>0</v>
      </c>
      <c r="AF10" s="157">
        <v>0</v>
      </c>
      <c r="AG10" s="157">
        <v>1</v>
      </c>
      <c r="AH10" s="157">
        <v>0</v>
      </c>
      <c r="AI10" s="157">
        <v>0</v>
      </c>
      <c r="AJ10" s="157">
        <v>0</v>
      </c>
      <c r="AK10" s="157">
        <v>0</v>
      </c>
      <c r="AL10" s="157">
        <v>0</v>
      </c>
      <c r="AM10" s="157">
        <v>0</v>
      </c>
      <c r="AN10" s="157">
        <v>0</v>
      </c>
      <c r="AO10" s="157">
        <v>0</v>
      </c>
      <c r="AP10" s="157">
        <v>0</v>
      </c>
      <c r="AQ10" s="157">
        <v>0</v>
      </c>
      <c r="AR10" s="157">
        <v>0</v>
      </c>
      <c r="AS10" s="157">
        <v>0</v>
      </c>
      <c r="AT10" s="157">
        <v>0</v>
      </c>
      <c r="AU10" s="157">
        <v>0</v>
      </c>
      <c r="AV10" s="157">
        <v>0</v>
      </c>
      <c r="AW10" s="157">
        <v>0</v>
      </c>
      <c r="AX10" s="157">
        <v>0</v>
      </c>
      <c r="AY10" s="157">
        <v>0</v>
      </c>
      <c r="AZ10" s="157">
        <v>0</v>
      </c>
    </row>
    <row r="11" spans="1:52" s="5" customFormat="1" ht="12" customHeight="1">
      <c r="A11" s="19">
        <v>8</v>
      </c>
      <c r="B11" s="21" t="str">
        <f>Population!B11</f>
        <v>CONAKRY</v>
      </c>
      <c r="C11" s="21" t="str">
        <f>Population!C11</f>
        <v>Matam</v>
      </c>
      <c r="D11" s="157">
        <v>0</v>
      </c>
      <c r="E11" s="157">
        <v>0</v>
      </c>
      <c r="F11" s="157">
        <v>0</v>
      </c>
      <c r="G11" s="157">
        <v>0</v>
      </c>
      <c r="H11" s="157">
        <v>0</v>
      </c>
      <c r="I11" s="157">
        <v>0</v>
      </c>
      <c r="J11" s="157">
        <v>0</v>
      </c>
      <c r="K11" s="157">
        <v>1</v>
      </c>
      <c r="L11" s="157">
        <v>0</v>
      </c>
      <c r="M11" s="157">
        <v>0</v>
      </c>
      <c r="N11" s="157">
        <v>0</v>
      </c>
      <c r="O11" s="157">
        <v>0</v>
      </c>
      <c r="P11" s="157">
        <v>0</v>
      </c>
      <c r="Q11" s="157">
        <v>0</v>
      </c>
      <c r="R11" s="157">
        <v>0</v>
      </c>
      <c r="S11" s="157">
        <v>0</v>
      </c>
      <c r="T11" s="157">
        <v>0</v>
      </c>
      <c r="U11" s="157">
        <v>0</v>
      </c>
      <c r="V11" s="157">
        <v>0</v>
      </c>
      <c r="W11" s="157">
        <v>0</v>
      </c>
      <c r="X11" s="157">
        <v>0</v>
      </c>
      <c r="Y11" s="157">
        <v>0</v>
      </c>
      <c r="Z11" s="157">
        <v>0</v>
      </c>
      <c r="AA11" s="157">
        <v>0</v>
      </c>
      <c r="AB11" s="157">
        <v>0</v>
      </c>
      <c r="AC11" s="157">
        <v>0</v>
      </c>
      <c r="AD11" s="157">
        <v>0</v>
      </c>
      <c r="AE11" s="157">
        <v>0</v>
      </c>
      <c r="AF11" s="157">
        <v>0</v>
      </c>
      <c r="AG11" s="157">
        <v>1</v>
      </c>
      <c r="AH11" s="157">
        <v>0</v>
      </c>
      <c r="AI11" s="157">
        <v>0</v>
      </c>
      <c r="AJ11" s="157">
        <v>0</v>
      </c>
      <c r="AK11" s="157">
        <v>0</v>
      </c>
      <c r="AL11" s="157">
        <v>0</v>
      </c>
      <c r="AM11" s="157">
        <v>0</v>
      </c>
      <c r="AN11" s="157">
        <v>0</v>
      </c>
      <c r="AO11" s="157">
        <v>0</v>
      </c>
      <c r="AP11" s="157">
        <v>0</v>
      </c>
      <c r="AQ11" s="157">
        <v>0</v>
      </c>
      <c r="AR11" s="157">
        <v>0</v>
      </c>
      <c r="AS11" s="157">
        <v>0</v>
      </c>
      <c r="AT11" s="157">
        <v>0</v>
      </c>
      <c r="AU11" s="157">
        <v>0</v>
      </c>
      <c r="AV11" s="157">
        <v>0</v>
      </c>
      <c r="AW11" s="157">
        <v>0</v>
      </c>
      <c r="AX11" s="157">
        <v>0</v>
      </c>
      <c r="AY11" s="157">
        <v>0</v>
      </c>
      <c r="AZ11" s="157">
        <v>0</v>
      </c>
    </row>
    <row r="12" spans="1:52" s="5" customFormat="1" ht="12" customHeight="1">
      <c r="A12" s="19">
        <v>9</v>
      </c>
      <c r="B12" s="21" t="str">
        <f>Population!B12</f>
        <v>CONAKRY</v>
      </c>
      <c r="C12" s="21" t="str">
        <f>Population!C12</f>
        <v>Matoto</v>
      </c>
      <c r="D12" s="157">
        <v>1</v>
      </c>
      <c r="E12" s="157">
        <v>0</v>
      </c>
      <c r="F12" s="157">
        <v>0</v>
      </c>
      <c r="G12" s="157">
        <v>0</v>
      </c>
      <c r="H12" s="157">
        <v>0</v>
      </c>
      <c r="I12" s="157">
        <v>0</v>
      </c>
      <c r="J12" s="157">
        <v>0</v>
      </c>
      <c r="K12" s="157">
        <v>1</v>
      </c>
      <c r="L12" s="157">
        <v>0</v>
      </c>
      <c r="M12" s="157">
        <v>0</v>
      </c>
      <c r="N12" s="157">
        <v>0</v>
      </c>
      <c r="O12" s="157">
        <v>0</v>
      </c>
      <c r="P12" s="157">
        <v>0</v>
      </c>
      <c r="Q12" s="157">
        <v>0</v>
      </c>
      <c r="R12" s="157">
        <v>0</v>
      </c>
      <c r="S12" s="157">
        <v>0</v>
      </c>
      <c r="T12" s="157">
        <v>0</v>
      </c>
      <c r="U12" s="157">
        <v>0</v>
      </c>
      <c r="V12" s="157">
        <v>0</v>
      </c>
      <c r="W12" s="157">
        <v>0</v>
      </c>
      <c r="X12" s="157">
        <v>0</v>
      </c>
      <c r="Y12" s="157">
        <v>0</v>
      </c>
      <c r="Z12" s="157">
        <v>0</v>
      </c>
      <c r="AA12" s="157">
        <v>0</v>
      </c>
      <c r="AB12" s="157">
        <v>0</v>
      </c>
      <c r="AC12" s="157">
        <v>0</v>
      </c>
      <c r="AD12" s="157">
        <v>0</v>
      </c>
      <c r="AE12" s="157">
        <v>0</v>
      </c>
      <c r="AF12" s="157">
        <v>1</v>
      </c>
      <c r="AG12" s="157">
        <v>0</v>
      </c>
      <c r="AH12" s="157">
        <v>1</v>
      </c>
      <c r="AI12" s="157">
        <v>0</v>
      </c>
      <c r="AJ12" s="157">
        <v>1</v>
      </c>
      <c r="AK12" s="157">
        <v>0</v>
      </c>
      <c r="AL12" s="157">
        <v>1</v>
      </c>
      <c r="AM12" s="157">
        <v>0</v>
      </c>
      <c r="AN12" s="157">
        <v>0</v>
      </c>
      <c r="AO12" s="157">
        <v>0</v>
      </c>
      <c r="AP12" s="157">
        <v>0</v>
      </c>
      <c r="AQ12" s="157">
        <v>0</v>
      </c>
      <c r="AR12" s="157">
        <v>0</v>
      </c>
      <c r="AS12" s="157">
        <v>0</v>
      </c>
      <c r="AT12" s="157">
        <v>0</v>
      </c>
      <c r="AU12" s="157">
        <v>0</v>
      </c>
      <c r="AV12" s="157">
        <v>0</v>
      </c>
      <c r="AW12" s="157">
        <v>0</v>
      </c>
      <c r="AX12" s="157">
        <v>0</v>
      </c>
      <c r="AY12" s="157">
        <v>0</v>
      </c>
      <c r="AZ12" s="157">
        <v>0</v>
      </c>
    </row>
    <row r="13" spans="1:52" s="5" customFormat="1" ht="12" customHeight="1">
      <c r="A13" s="19">
        <v>10</v>
      </c>
      <c r="B13" s="21" t="str">
        <f>Population!B13</f>
        <v>CONAKRY</v>
      </c>
      <c r="C13" s="21" t="str">
        <f>Population!C13</f>
        <v>Ratoma</v>
      </c>
      <c r="D13" s="157">
        <v>1</v>
      </c>
      <c r="E13" s="157">
        <v>0</v>
      </c>
      <c r="F13" s="157">
        <v>0</v>
      </c>
      <c r="G13" s="157">
        <v>0</v>
      </c>
      <c r="H13" s="157">
        <v>0</v>
      </c>
      <c r="I13" s="157">
        <v>0</v>
      </c>
      <c r="J13" s="157">
        <v>0</v>
      </c>
      <c r="K13" s="157">
        <v>1</v>
      </c>
      <c r="L13" s="157">
        <v>0</v>
      </c>
      <c r="M13" s="157">
        <v>0</v>
      </c>
      <c r="N13" s="157">
        <v>0</v>
      </c>
      <c r="O13" s="157">
        <v>0</v>
      </c>
      <c r="P13" s="157">
        <v>0</v>
      </c>
      <c r="Q13" s="157">
        <v>0</v>
      </c>
      <c r="R13" s="157">
        <v>0</v>
      </c>
      <c r="S13" s="157">
        <v>0</v>
      </c>
      <c r="T13" s="157">
        <v>0</v>
      </c>
      <c r="U13" s="157">
        <v>0</v>
      </c>
      <c r="V13" s="157">
        <v>0</v>
      </c>
      <c r="W13" s="157">
        <v>0</v>
      </c>
      <c r="X13" s="157">
        <v>0</v>
      </c>
      <c r="Y13" s="157">
        <v>0</v>
      </c>
      <c r="Z13" s="157">
        <v>0</v>
      </c>
      <c r="AA13" s="157">
        <v>0</v>
      </c>
      <c r="AB13" s="157">
        <v>0</v>
      </c>
      <c r="AC13" s="157">
        <v>0</v>
      </c>
      <c r="AD13" s="157">
        <v>0</v>
      </c>
      <c r="AE13" s="157">
        <v>0</v>
      </c>
      <c r="AF13" s="157">
        <v>1</v>
      </c>
      <c r="AG13" s="157">
        <v>0</v>
      </c>
      <c r="AH13" s="157">
        <v>1</v>
      </c>
      <c r="AI13" s="157">
        <v>0</v>
      </c>
      <c r="AJ13" s="157">
        <v>1</v>
      </c>
      <c r="AK13" s="157">
        <v>0</v>
      </c>
      <c r="AL13" s="157">
        <v>1</v>
      </c>
      <c r="AM13" s="157">
        <v>0</v>
      </c>
      <c r="AN13" s="157">
        <v>0</v>
      </c>
      <c r="AO13" s="157">
        <v>0</v>
      </c>
      <c r="AP13" s="157">
        <v>0</v>
      </c>
      <c r="AQ13" s="157">
        <v>0</v>
      </c>
      <c r="AR13" s="157">
        <v>0</v>
      </c>
      <c r="AS13" s="157">
        <v>0</v>
      </c>
      <c r="AT13" s="157">
        <v>0</v>
      </c>
      <c r="AU13" s="157">
        <v>0</v>
      </c>
      <c r="AV13" s="157">
        <v>0</v>
      </c>
      <c r="AW13" s="157">
        <v>0</v>
      </c>
      <c r="AX13" s="157">
        <v>0</v>
      </c>
      <c r="AY13" s="157">
        <v>0</v>
      </c>
      <c r="AZ13" s="157">
        <v>0</v>
      </c>
    </row>
    <row r="14" spans="1:52" s="5" customFormat="1" ht="12" customHeight="1">
      <c r="A14" s="19">
        <v>11</v>
      </c>
      <c r="B14" s="21" t="str">
        <f>Population!B14</f>
        <v>FARANAH</v>
      </c>
      <c r="C14" s="21" t="str">
        <f>Population!C14</f>
        <v>Dabola</v>
      </c>
      <c r="D14" s="157">
        <v>0</v>
      </c>
      <c r="E14" s="157">
        <v>0</v>
      </c>
      <c r="F14" s="157">
        <v>0</v>
      </c>
      <c r="G14" s="157">
        <v>0</v>
      </c>
      <c r="H14" s="157">
        <v>0</v>
      </c>
      <c r="I14" s="157">
        <v>0</v>
      </c>
      <c r="J14" s="157">
        <v>0</v>
      </c>
      <c r="K14" s="157">
        <v>1</v>
      </c>
      <c r="L14" s="157">
        <v>0</v>
      </c>
      <c r="M14" s="157">
        <v>0</v>
      </c>
      <c r="N14" s="157">
        <v>0</v>
      </c>
      <c r="O14" s="157">
        <v>0</v>
      </c>
      <c r="P14" s="157">
        <v>0</v>
      </c>
      <c r="Q14" s="157">
        <v>0</v>
      </c>
      <c r="R14" s="157">
        <v>1</v>
      </c>
      <c r="S14" s="157">
        <v>1</v>
      </c>
      <c r="T14" s="157">
        <v>1</v>
      </c>
      <c r="U14" s="157">
        <v>1</v>
      </c>
      <c r="V14" s="157">
        <v>1</v>
      </c>
      <c r="W14" s="157">
        <v>1</v>
      </c>
      <c r="X14" s="157">
        <v>1</v>
      </c>
      <c r="Y14" s="157">
        <v>1</v>
      </c>
      <c r="Z14" s="157">
        <v>1</v>
      </c>
      <c r="AA14" s="157">
        <v>1</v>
      </c>
      <c r="AB14" s="157">
        <v>1</v>
      </c>
      <c r="AC14" s="157">
        <v>1</v>
      </c>
      <c r="AD14" s="157">
        <v>1</v>
      </c>
      <c r="AE14" s="157">
        <v>1</v>
      </c>
      <c r="AF14" s="157">
        <v>1</v>
      </c>
      <c r="AG14" s="157">
        <v>1</v>
      </c>
      <c r="AH14" s="157">
        <v>0</v>
      </c>
      <c r="AI14" s="157">
        <v>0</v>
      </c>
      <c r="AJ14" s="157">
        <v>1</v>
      </c>
      <c r="AK14" s="157">
        <v>0</v>
      </c>
      <c r="AL14" s="157">
        <v>0</v>
      </c>
      <c r="AM14" s="157">
        <v>0</v>
      </c>
      <c r="AN14" s="157">
        <v>0</v>
      </c>
      <c r="AO14" s="157">
        <v>0</v>
      </c>
      <c r="AP14" s="157">
        <v>0</v>
      </c>
      <c r="AQ14" s="157">
        <v>0</v>
      </c>
      <c r="AR14" s="157">
        <v>0</v>
      </c>
      <c r="AS14" s="157">
        <v>0</v>
      </c>
      <c r="AT14" s="157">
        <v>1</v>
      </c>
      <c r="AU14" s="157">
        <v>1</v>
      </c>
      <c r="AV14" s="157">
        <v>1</v>
      </c>
      <c r="AW14" s="157">
        <v>1</v>
      </c>
      <c r="AX14" s="157">
        <v>1</v>
      </c>
      <c r="AY14" s="157">
        <v>1</v>
      </c>
      <c r="AZ14" s="157">
        <v>1</v>
      </c>
    </row>
    <row r="15" spans="1:52" s="5" customFormat="1" ht="12" customHeight="1">
      <c r="A15" s="19">
        <v>12</v>
      </c>
      <c r="B15" s="21" t="str">
        <f>Population!B15</f>
        <v>FARANAH</v>
      </c>
      <c r="C15" s="21" t="str">
        <f>Population!C15</f>
        <v>Dinguiraye</v>
      </c>
      <c r="D15" s="157">
        <v>0</v>
      </c>
      <c r="E15" s="157">
        <v>0</v>
      </c>
      <c r="F15" s="157">
        <v>0</v>
      </c>
      <c r="G15" s="157">
        <v>0</v>
      </c>
      <c r="H15" s="157">
        <v>0</v>
      </c>
      <c r="I15" s="157">
        <v>0</v>
      </c>
      <c r="J15" s="157">
        <v>0</v>
      </c>
      <c r="K15" s="157">
        <v>1</v>
      </c>
      <c r="L15" s="157">
        <v>0</v>
      </c>
      <c r="M15" s="157">
        <v>0</v>
      </c>
      <c r="N15" s="157">
        <v>0</v>
      </c>
      <c r="O15" s="157">
        <v>0</v>
      </c>
      <c r="P15" s="157">
        <v>0</v>
      </c>
      <c r="Q15" s="157">
        <v>0</v>
      </c>
      <c r="R15" s="157">
        <v>1</v>
      </c>
      <c r="S15" s="157">
        <v>1</v>
      </c>
      <c r="T15" s="157">
        <v>1</v>
      </c>
      <c r="U15" s="157">
        <v>1</v>
      </c>
      <c r="V15" s="157">
        <v>1</v>
      </c>
      <c r="W15" s="157">
        <v>1</v>
      </c>
      <c r="X15" s="157">
        <v>1</v>
      </c>
      <c r="Y15" s="157">
        <v>1</v>
      </c>
      <c r="Z15" s="157">
        <v>1</v>
      </c>
      <c r="AA15" s="157">
        <v>1</v>
      </c>
      <c r="AB15" s="157">
        <v>1</v>
      </c>
      <c r="AC15" s="157">
        <v>1</v>
      </c>
      <c r="AD15" s="157">
        <v>1</v>
      </c>
      <c r="AE15" s="157">
        <v>1</v>
      </c>
      <c r="AF15" s="157">
        <v>1</v>
      </c>
      <c r="AG15" s="157">
        <v>1</v>
      </c>
      <c r="AH15" s="157">
        <v>1</v>
      </c>
      <c r="AI15" s="157">
        <v>1</v>
      </c>
      <c r="AJ15" s="157">
        <v>1</v>
      </c>
      <c r="AK15" s="157">
        <v>1</v>
      </c>
      <c r="AL15" s="157">
        <v>1</v>
      </c>
      <c r="AM15" s="157">
        <v>0</v>
      </c>
      <c r="AN15" s="157">
        <v>0</v>
      </c>
      <c r="AO15" s="157">
        <v>0</v>
      </c>
      <c r="AP15" s="157">
        <v>0</v>
      </c>
      <c r="AQ15" s="157">
        <v>0</v>
      </c>
      <c r="AR15" s="157">
        <v>0</v>
      </c>
      <c r="AS15" s="157">
        <v>0</v>
      </c>
      <c r="AT15" s="157">
        <v>1</v>
      </c>
      <c r="AU15" s="157">
        <v>1</v>
      </c>
      <c r="AV15" s="157">
        <v>1</v>
      </c>
      <c r="AW15" s="157">
        <v>1</v>
      </c>
      <c r="AX15" s="157">
        <v>1</v>
      </c>
      <c r="AY15" s="157">
        <v>1</v>
      </c>
      <c r="AZ15" s="157">
        <v>1</v>
      </c>
    </row>
    <row r="16" spans="1:52" s="5" customFormat="1" ht="12" customHeight="1">
      <c r="A16" s="19">
        <v>13</v>
      </c>
      <c r="B16" s="21" t="str">
        <f>Population!B16</f>
        <v>FARANAH</v>
      </c>
      <c r="C16" s="21" t="str">
        <f>Population!C16</f>
        <v>Faranah</v>
      </c>
      <c r="D16" s="157">
        <v>0</v>
      </c>
      <c r="E16" s="157">
        <v>0</v>
      </c>
      <c r="F16" s="157">
        <v>0</v>
      </c>
      <c r="G16" s="157">
        <v>0</v>
      </c>
      <c r="H16" s="157">
        <v>0</v>
      </c>
      <c r="I16" s="157">
        <v>0</v>
      </c>
      <c r="J16" s="157">
        <v>0</v>
      </c>
      <c r="K16" s="157">
        <v>1</v>
      </c>
      <c r="L16" s="157">
        <v>0</v>
      </c>
      <c r="M16" s="157">
        <v>0</v>
      </c>
      <c r="N16" s="157">
        <v>0</v>
      </c>
      <c r="O16" s="157">
        <v>0</v>
      </c>
      <c r="P16" s="157">
        <v>0</v>
      </c>
      <c r="Q16" s="157">
        <v>0</v>
      </c>
      <c r="R16" s="157">
        <v>1</v>
      </c>
      <c r="S16" s="157">
        <v>1</v>
      </c>
      <c r="T16" s="157">
        <v>1</v>
      </c>
      <c r="U16" s="157">
        <v>1</v>
      </c>
      <c r="V16" s="157">
        <v>1</v>
      </c>
      <c r="W16" s="157">
        <v>1</v>
      </c>
      <c r="X16" s="157">
        <v>1</v>
      </c>
      <c r="Y16" s="157">
        <v>1</v>
      </c>
      <c r="Z16" s="157">
        <v>1</v>
      </c>
      <c r="AA16" s="157">
        <v>1</v>
      </c>
      <c r="AB16" s="157">
        <v>1</v>
      </c>
      <c r="AC16" s="157">
        <v>1</v>
      </c>
      <c r="AD16" s="157">
        <v>1</v>
      </c>
      <c r="AE16" s="157">
        <v>1</v>
      </c>
      <c r="AF16" s="157">
        <v>1</v>
      </c>
      <c r="AG16" s="157">
        <v>1</v>
      </c>
      <c r="AH16" s="157">
        <v>1</v>
      </c>
      <c r="AI16" s="157">
        <v>1</v>
      </c>
      <c r="AJ16" s="157">
        <v>1</v>
      </c>
      <c r="AK16" s="157">
        <v>1</v>
      </c>
      <c r="AL16" s="157">
        <v>1</v>
      </c>
      <c r="AM16" s="157">
        <v>1</v>
      </c>
      <c r="AN16" s="157">
        <v>1</v>
      </c>
      <c r="AO16" s="157">
        <v>1</v>
      </c>
      <c r="AP16" s="157">
        <v>1</v>
      </c>
      <c r="AQ16" s="157">
        <v>1</v>
      </c>
      <c r="AR16" s="157">
        <v>1</v>
      </c>
      <c r="AS16" s="157">
        <v>1</v>
      </c>
      <c r="AT16" s="157">
        <v>1</v>
      </c>
      <c r="AU16" s="157">
        <v>1</v>
      </c>
      <c r="AV16" s="157">
        <v>1</v>
      </c>
      <c r="AW16" s="157">
        <v>1</v>
      </c>
      <c r="AX16" s="157">
        <v>1</v>
      </c>
      <c r="AY16" s="157">
        <v>1</v>
      </c>
      <c r="AZ16" s="157">
        <v>1</v>
      </c>
    </row>
    <row r="17" spans="1:52" s="5" customFormat="1" ht="12" customHeight="1">
      <c r="A17" s="19">
        <v>14</v>
      </c>
      <c r="B17" s="21" t="str">
        <f>Population!B17</f>
        <v>FARANAH</v>
      </c>
      <c r="C17" s="21" t="str">
        <f>Population!C17</f>
        <v>Kissidougou</v>
      </c>
      <c r="D17" s="157">
        <v>0</v>
      </c>
      <c r="E17" s="157">
        <v>0</v>
      </c>
      <c r="F17" s="157">
        <v>0</v>
      </c>
      <c r="G17" s="157">
        <v>0</v>
      </c>
      <c r="H17" s="157">
        <v>0</v>
      </c>
      <c r="I17" s="157">
        <v>0</v>
      </c>
      <c r="J17" s="157">
        <v>0</v>
      </c>
      <c r="K17" s="157">
        <v>1</v>
      </c>
      <c r="L17" s="157">
        <v>0</v>
      </c>
      <c r="M17" s="157">
        <v>0</v>
      </c>
      <c r="N17" s="157">
        <v>0</v>
      </c>
      <c r="O17" s="157">
        <v>0</v>
      </c>
      <c r="P17" s="157">
        <v>0</v>
      </c>
      <c r="Q17" s="157">
        <v>0</v>
      </c>
      <c r="R17" s="157">
        <v>1</v>
      </c>
      <c r="S17" s="157">
        <v>1</v>
      </c>
      <c r="T17" s="157">
        <v>1</v>
      </c>
      <c r="U17" s="157">
        <v>1</v>
      </c>
      <c r="V17" s="157">
        <v>1</v>
      </c>
      <c r="W17" s="157">
        <v>1</v>
      </c>
      <c r="X17" s="157">
        <v>1</v>
      </c>
      <c r="Y17" s="157">
        <v>1</v>
      </c>
      <c r="Z17" s="157">
        <v>1</v>
      </c>
      <c r="AA17" s="157">
        <v>1</v>
      </c>
      <c r="AB17" s="157">
        <v>1</v>
      </c>
      <c r="AC17" s="157">
        <v>1</v>
      </c>
      <c r="AD17" s="157">
        <v>1</v>
      </c>
      <c r="AE17" s="157">
        <v>1</v>
      </c>
      <c r="AF17" s="157">
        <v>1</v>
      </c>
      <c r="AG17" s="157">
        <v>1</v>
      </c>
      <c r="AH17" s="157">
        <v>1</v>
      </c>
      <c r="AI17" s="157">
        <v>1</v>
      </c>
      <c r="AJ17" s="157">
        <v>1</v>
      </c>
      <c r="AK17" s="157">
        <v>1</v>
      </c>
      <c r="AL17" s="157">
        <v>1</v>
      </c>
      <c r="AM17" s="157">
        <v>1</v>
      </c>
      <c r="AN17" s="157">
        <v>1</v>
      </c>
      <c r="AO17" s="157">
        <v>1</v>
      </c>
      <c r="AP17" s="157">
        <v>1</v>
      </c>
      <c r="AQ17" s="157">
        <v>1</v>
      </c>
      <c r="AR17" s="157">
        <v>1</v>
      </c>
      <c r="AS17" s="157">
        <v>1</v>
      </c>
      <c r="AT17" s="157">
        <v>1</v>
      </c>
      <c r="AU17" s="157">
        <v>1</v>
      </c>
      <c r="AV17" s="157">
        <v>1</v>
      </c>
      <c r="AW17" s="157">
        <v>1</v>
      </c>
      <c r="AX17" s="157">
        <v>1</v>
      </c>
      <c r="AY17" s="157">
        <v>1</v>
      </c>
      <c r="AZ17" s="157">
        <v>1</v>
      </c>
    </row>
    <row r="18" spans="1:52" s="5" customFormat="1" ht="12" customHeight="1">
      <c r="A18" s="19">
        <v>15</v>
      </c>
      <c r="B18" s="21" t="str">
        <f>Population!B18</f>
        <v>KANKAN</v>
      </c>
      <c r="C18" s="21" t="str">
        <f>Population!C18</f>
        <v>Kankan</v>
      </c>
      <c r="D18" s="157">
        <v>0</v>
      </c>
      <c r="E18" s="157">
        <v>0</v>
      </c>
      <c r="F18" s="157">
        <v>0</v>
      </c>
      <c r="G18" s="157">
        <v>0</v>
      </c>
      <c r="H18" s="157">
        <v>0</v>
      </c>
      <c r="I18" s="157">
        <v>0</v>
      </c>
      <c r="J18" s="157">
        <v>0</v>
      </c>
      <c r="K18" s="157">
        <v>1</v>
      </c>
      <c r="L18" s="157">
        <v>0</v>
      </c>
      <c r="M18" s="157">
        <v>0</v>
      </c>
      <c r="N18" s="157">
        <v>0</v>
      </c>
      <c r="O18" s="157">
        <v>0</v>
      </c>
      <c r="P18" s="157">
        <v>0</v>
      </c>
      <c r="Q18" s="157">
        <v>0</v>
      </c>
      <c r="R18" s="157">
        <v>1</v>
      </c>
      <c r="S18" s="157">
        <v>1</v>
      </c>
      <c r="T18" s="157">
        <v>1</v>
      </c>
      <c r="U18" s="157">
        <v>1</v>
      </c>
      <c r="V18" s="157">
        <v>1</v>
      </c>
      <c r="W18" s="157">
        <v>1</v>
      </c>
      <c r="X18" s="157">
        <v>1</v>
      </c>
      <c r="Y18" s="157">
        <v>1</v>
      </c>
      <c r="Z18" s="157">
        <v>1</v>
      </c>
      <c r="AA18" s="157">
        <v>1</v>
      </c>
      <c r="AB18" s="157">
        <v>1</v>
      </c>
      <c r="AC18" s="157">
        <v>1</v>
      </c>
      <c r="AD18" s="157">
        <v>1</v>
      </c>
      <c r="AE18" s="157">
        <v>1</v>
      </c>
      <c r="AF18" s="157">
        <v>1</v>
      </c>
      <c r="AG18" s="157">
        <v>0</v>
      </c>
      <c r="AH18" s="157">
        <v>1</v>
      </c>
      <c r="AI18" s="157">
        <v>0</v>
      </c>
      <c r="AJ18" s="157">
        <v>1</v>
      </c>
      <c r="AK18" s="157">
        <v>0</v>
      </c>
      <c r="AL18" s="157">
        <v>1</v>
      </c>
      <c r="AM18" s="157">
        <v>1</v>
      </c>
      <c r="AN18" s="157">
        <v>1</v>
      </c>
      <c r="AO18" s="157">
        <v>1</v>
      </c>
      <c r="AP18" s="157">
        <v>1</v>
      </c>
      <c r="AQ18" s="157">
        <v>1</v>
      </c>
      <c r="AR18" s="157">
        <v>1</v>
      </c>
      <c r="AS18" s="157">
        <v>1</v>
      </c>
      <c r="AT18" s="157">
        <v>1</v>
      </c>
      <c r="AU18" s="157">
        <v>0</v>
      </c>
      <c r="AV18" s="157">
        <v>0</v>
      </c>
      <c r="AW18" s="157">
        <v>0</v>
      </c>
      <c r="AX18" s="157">
        <v>0</v>
      </c>
      <c r="AY18" s="157">
        <v>0</v>
      </c>
      <c r="AZ18" s="157">
        <v>0</v>
      </c>
    </row>
    <row r="19" spans="1:52" s="5" customFormat="1" ht="12" customHeight="1">
      <c r="A19" s="19">
        <v>16</v>
      </c>
      <c r="B19" s="21" t="str">
        <f>Population!B19</f>
        <v>KANKAN</v>
      </c>
      <c r="C19" s="21" t="str">
        <f>Population!C19</f>
        <v>Kérouané</v>
      </c>
      <c r="D19" s="157">
        <v>0</v>
      </c>
      <c r="E19" s="157">
        <v>0</v>
      </c>
      <c r="F19" s="157">
        <v>0</v>
      </c>
      <c r="G19" s="157">
        <v>0</v>
      </c>
      <c r="H19" s="157">
        <v>0</v>
      </c>
      <c r="I19" s="157">
        <v>0</v>
      </c>
      <c r="J19" s="157">
        <v>0</v>
      </c>
      <c r="K19" s="157">
        <v>1</v>
      </c>
      <c r="L19" s="157">
        <v>0</v>
      </c>
      <c r="M19" s="157">
        <v>0</v>
      </c>
      <c r="N19" s="157">
        <v>0</v>
      </c>
      <c r="O19" s="157">
        <v>0</v>
      </c>
      <c r="P19" s="157">
        <v>0</v>
      </c>
      <c r="Q19" s="157">
        <v>0</v>
      </c>
      <c r="R19" s="157">
        <v>1</v>
      </c>
      <c r="S19" s="157">
        <v>1</v>
      </c>
      <c r="T19" s="157">
        <v>1</v>
      </c>
      <c r="U19" s="157">
        <v>1</v>
      </c>
      <c r="V19" s="157">
        <v>1</v>
      </c>
      <c r="W19" s="157">
        <v>1</v>
      </c>
      <c r="X19" s="157">
        <v>1</v>
      </c>
      <c r="Y19" s="157">
        <v>1</v>
      </c>
      <c r="Z19" s="157">
        <v>1</v>
      </c>
      <c r="AA19" s="157">
        <v>1</v>
      </c>
      <c r="AB19" s="157">
        <v>1</v>
      </c>
      <c r="AC19" s="157">
        <v>1</v>
      </c>
      <c r="AD19" s="157">
        <v>1</v>
      </c>
      <c r="AE19" s="157">
        <v>1</v>
      </c>
      <c r="AF19" s="157">
        <v>1</v>
      </c>
      <c r="AG19" s="157">
        <v>1</v>
      </c>
      <c r="AH19" s="157">
        <v>1</v>
      </c>
      <c r="AI19" s="157">
        <v>1</v>
      </c>
      <c r="AJ19" s="157">
        <v>1</v>
      </c>
      <c r="AK19" s="157">
        <v>1</v>
      </c>
      <c r="AL19" s="157">
        <v>1</v>
      </c>
      <c r="AM19" s="157">
        <v>1</v>
      </c>
      <c r="AN19" s="157">
        <v>1</v>
      </c>
      <c r="AO19" s="157">
        <v>1</v>
      </c>
      <c r="AP19" s="157">
        <v>1</v>
      </c>
      <c r="AQ19" s="157">
        <v>1</v>
      </c>
      <c r="AR19" s="157">
        <v>1</v>
      </c>
      <c r="AS19" s="157">
        <v>1</v>
      </c>
      <c r="AT19" s="157">
        <v>1</v>
      </c>
      <c r="AU19" s="157">
        <v>1</v>
      </c>
      <c r="AV19" s="157">
        <v>0</v>
      </c>
      <c r="AW19" s="157">
        <v>0</v>
      </c>
      <c r="AX19" s="157">
        <v>0</v>
      </c>
      <c r="AY19" s="157">
        <v>0</v>
      </c>
      <c r="AZ19" s="157">
        <v>0</v>
      </c>
    </row>
    <row r="20" spans="1:52" s="5" customFormat="1" ht="12" customHeight="1">
      <c r="A20" s="19">
        <v>17</v>
      </c>
      <c r="B20" s="21" t="str">
        <f>Population!B20</f>
        <v>KANKAN</v>
      </c>
      <c r="C20" s="21" t="str">
        <f>Population!C20</f>
        <v>Kouroussa</v>
      </c>
      <c r="D20" s="157">
        <v>0</v>
      </c>
      <c r="E20" s="157">
        <v>0</v>
      </c>
      <c r="F20" s="157">
        <v>0</v>
      </c>
      <c r="G20" s="157">
        <v>0</v>
      </c>
      <c r="H20" s="157">
        <v>0</v>
      </c>
      <c r="I20" s="157">
        <v>0</v>
      </c>
      <c r="J20" s="157">
        <v>0</v>
      </c>
      <c r="K20" s="157">
        <v>1</v>
      </c>
      <c r="L20" s="157">
        <v>0</v>
      </c>
      <c r="M20" s="157">
        <v>0</v>
      </c>
      <c r="N20" s="157">
        <v>0</v>
      </c>
      <c r="O20" s="157">
        <v>0</v>
      </c>
      <c r="P20" s="157">
        <v>0</v>
      </c>
      <c r="Q20" s="157">
        <v>0</v>
      </c>
      <c r="R20" s="157">
        <v>1</v>
      </c>
      <c r="S20" s="157">
        <v>1</v>
      </c>
      <c r="T20" s="157">
        <v>1</v>
      </c>
      <c r="U20" s="157">
        <v>1</v>
      </c>
      <c r="V20" s="157">
        <v>1</v>
      </c>
      <c r="W20" s="157">
        <v>1</v>
      </c>
      <c r="X20" s="157">
        <v>1</v>
      </c>
      <c r="Y20" s="157">
        <v>1</v>
      </c>
      <c r="Z20" s="157">
        <v>1</v>
      </c>
      <c r="AA20" s="157">
        <v>1</v>
      </c>
      <c r="AB20" s="157">
        <v>1</v>
      </c>
      <c r="AC20" s="157">
        <v>1</v>
      </c>
      <c r="AD20" s="157">
        <v>1</v>
      </c>
      <c r="AE20" s="157">
        <v>1</v>
      </c>
      <c r="AF20" s="157">
        <v>1</v>
      </c>
      <c r="AG20" s="157">
        <v>0</v>
      </c>
      <c r="AH20" s="157">
        <v>1</v>
      </c>
      <c r="AI20" s="157">
        <v>0</v>
      </c>
      <c r="AJ20" s="157">
        <v>1</v>
      </c>
      <c r="AK20" s="157">
        <v>0</v>
      </c>
      <c r="AL20" s="157">
        <v>1</v>
      </c>
      <c r="AM20" s="157">
        <v>1</v>
      </c>
      <c r="AN20" s="157">
        <v>1</v>
      </c>
      <c r="AO20" s="157">
        <v>1</v>
      </c>
      <c r="AP20" s="157">
        <v>1</v>
      </c>
      <c r="AQ20" s="157">
        <v>1</v>
      </c>
      <c r="AR20" s="157">
        <v>1</v>
      </c>
      <c r="AS20" s="157">
        <v>1</v>
      </c>
      <c r="AT20" s="157">
        <v>1</v>
      </c>
      <c r="AU20" s="157">
        <v>1</v>
      </c>
      <c r="AV20" s="157">
        <v>1</v>
      </c>
      <c r="AW20" s="157">
        <v>1</v>
      </c>
      <c r="AX20" s="157">
        <v>1</v>
      </c>
      <c r="AY20" s="157">
        <v>1</v>
      </c>
      <c r="AZ20" s="157">
        <v>1</v>
      </c>
    </row>
    <row r="21" spans="1:52" s="5" customFormat="1" ht="12" customHeight="1">
      <c r="A21" s="19">
        <v>18</v>
      </c>
      <c r="B21" s="21" t="str">
        <f>Population!B21</f>
        <v>KANKAN</v>
      </c>
      <c r="C21" s="21" t="str">
        <f>Population!C21</f>
        <v>Mandiana</v>
      </c>
      <c r="D21" s="157">
        <v>0</v>
      </c>
      <c r="E21" s="157">
        <v>0</v>
      </c>
      <c r="F21" s="157">
        <v>0</v>
      </c>
      <c r="G21" s="157">
        <v>0</v>
      </c>
      <c r="H21" s="157">
        <v>0</v>
      </c>
      <c r="I21" s="157">
        <v>0</v>
      </c>
      <c r="J21" s="157">
        <v>0</v>
      </c>
      <c r="K21" s="157">
        <v>1</v>
      </c>
      <c r="L21" s="157">
        <v>0</v>
      </c>
      <c r="M21" s="157">
        <v>0</v>
      </c>
      <c r="N21" s="157">
        <v>0</v>
      </c>
      <c r="O21" s="157">
        <v>0</v>
      </c>
      <c r="P21" s="157">
        <v>0</v>
      </c>
      <c r="Q21" s="157">
        <v>0</v>
      </c>
      <c r="R21" s="157">
        <v>1</v>
      </c>
      <c r="S21" s="157">
        <v>1</v>
      </c>
      <c r="T21" s="157">
        <v>1</v>
      </c>
      <c r="U21" s="157">
        <v>1</v>
      </c>
      <c r="V21" s="157">
        <v>1</v>
      </c>
      <c r="W21" s="157">
        <v>1</v>
      </c>
      <c r="X21" s="157">
        <v>1</v>
      </c>
      <c r="Y21" s="157">
        <v>1</v>
      </c>
      <c r="Z21" s="157">
        <v>1</v>
      </c>
      <c r="AA21" s="157">
        <v>1</v>
      </c>
      <c r="AB21" s="157">
        <v>1</v>
      </c>
      <c r="AC21" s="157">
        <v>1</v>
      </c>
      <c r="AD21" s="157">
        <v>1</v>
      </c>
      <c r="AE21" s="157">
        <v>1</v>
      </c>
      <c r="AF21" s="157">
        <v>1</v>
      </c>
      <c r="AG21" s="157">
        <v>1</v>
      </c>
      <c r="AH21" s="157">
        <v>0</v>
      </c>
      <c r="AI21" s="157">
        <v>0</v>
      </c>
      <c r="AJ21" s="157">
        <v>1</v>
      </c>
      <c r="AK21" s="157">
        <v>0</v>
      </c>
      <c r="AL21" s="157">
        <v>0</v>
      </c>
      <c r="AM21" s="157">
        <v>1</v>
      </c>
      <c r="AN21" s="157">
        <v>1</v>
      </c>
      <c r="AO21" s="157">
        <v>1</v>
      </c>
      <c r="AP21" s="157">
        <v>1</v>
      </c>
      <c r="AQ21" s="157">
        <v>1</v>
      </c>
      <c r="AR21" s="157">
        <v>1</v>
      </c>
      <c r="AS21" s="157">
        <v>1</v>
      </c>
      <c r="AT21" s="157">
        <v>1</v>
      </c>
      <c r="AU21" s="157">
        <v>0</v>
      </c>
      <c r="AV21" s="157">
        <v>0</v>
      </c>
      <c r="AW21" s="157">
        <v>0</v>
      </c>
      <c r="AX21" s="157">
        <v>0</v>
      </c>
      <c r="AY21" s="157">
        <v>0</v>
      </c>
      <c r="AZ21" s="157">
        <v>0</v>
      </c>
    </row>
    <row r="22" spans="1:52" s="5" customFormat="1" ht="12" customHeight="1">
      <c r="A22" s="19">
        <v>19</v>
      </c>
      <c r="B22" s="21" t="str">
        <f>Population!B22</f>
        <v>KANKAN</v>
      </c>
      <c r="C22" s="21" t="str">
        <f>Population!C22</f>
        <v>Siguiri</v>
      </c>
      <c r="D22" s="157">
        <v>0</v>
      </c>
      <c r="E22" s="157">
        <v>0</v>
      </c>
      <c r="F22" s="157">
        <v>0</v>
      </c>
      <c r="G22" s="157">
        <v>0</v>
      </c>
      <c r="H22" s="157">
        <v>0</v>
      </c>
      <c r="I22" s="157">
        <v>0</v>
      </c>
      <c r="J22" s="157">
        <v>0</v>
      </c>
      <c r="K22" s="157">
        <v>1</v>
      </c>
      <c r="L22" s="157">
        <v>0</v>
      </c>
      <c r="M22" s="157">
        <v>0</v>
      </c>
      <c r="N22" s="157">
        <v>0</v>
      </c>
      <c r="O22" s="157">
        <v>0</v>
      </c>
      <c r="P22" s="157">
        <v>0</v>
      </c>
      <c r="Q22" s="157">
        <v>0</v>
      </c>
      <c r="R22" s="157">
        <v>1</v>
      </c>
      <c r="S22" s="157">
        <v>1</v>
      </c>
      <c r="T22" s="157">
        <v>1</v>
      </c>
      <c r="U22" s="157">
        <v>1</v>
      </c>
      <c r="V22" s="157">
        <v>1</v>
      </c>
      <c r="W22" s="157">
        <v>1</v>
      </c>
      <c r="X22" s="157">
        <v>1</v>
      </c>
      <c r="Y22" s="157">
        <v>1</v>
      </c>
      <c r="Z22" s="157">
        <v>1</v>
      </c>
      <c r="AA22" s="157">
        <v>1</v>
      </c>
      <c r="AB22" s="157">
        <v>1</v>
      </c>
      <c r="AC22" s="157">
        <v>1</v>
      </c>
      <c r="AD22" s="157">
        <v>1</v>
      </c>
      <c r="AE22" s="157">
        <v>1</v>
      </c>
      <c r="AF22" s="157">
        <v>1</v>
      </c>
      <c r="AG22" s="157">
        <v>1</v>
      </c>
      <c r="AH22" s="157">
        <v>1</v>
      </c>
      <c r="AI22" s="157">
        <v>1</v>
      </c>
      <c r="AJ22" s="157">
        <v>1</v>
      </c>
      <c r="AK22" s="157">
        <v>1</v>
      </c>
      <c r="AL22" s="157">
        <v>1</v>
      </c>
      <c r="AM22" s="157">
        <v>0</v>
      </c>
      <c r="AN22" s="157">
        <v>0</v>
      </c>
      <c r="AO22" s="157">
        <v>0</v>
      </c>
      <c r="AP22" s="157">
        <v>0</v>
      </c>
      <c r="AQ22" s="157">
        <v>0</v>
      </c>
      <c r="AR22" s="157">
        <v>0</v>
      </c>
      <c r="AS22" s="157">
        <v>0</v>
      </c>
      <c r="AT22" s="157">
        <v>1</v>
      </c>
      <c r="AU22" s="157">
        <v>0</v>
      </c>
      <c r="AV22" s="157">
        <v>0</v>
      </c>
      <c r="AW22" s="157">
        <v>0</v>
      </c>
      <c r="AX22" s="157">
        <v>0</v>
      </c>
      <c r="AY22" s="157">
        <v>0</v>
      </c>
      <c r="AZ22" s="157">
        <v>0</v>
      </c>
    </row>
    <row r="23" spans="1:52" s="5" customFormat="1" ht="12" customHeight="1">
      <c r="A23" s="19">
        <v>20</v>
      </c>
      <c r="B23" s="21" t="str">
        <f>Population!B23</f>
        <v>KINDIA</v>
      </c>
      <c r="C23" s="21" t="str">
        <f>Population!C23</f>
        <v>Coyah</v>
      </c>
      <c r="D23" s="157">
        <v>2</v>
      </c>
      <c r="E23" s="157">
        <v>0</v>
      </c>
      <c r="F23" s="157">
        <v>0</v>
      </c>
      <c r="G23" s="157">
        <v>0</v>
      </c>
      <c r="H23" s="157">
        <v>0</v>
      </c>
      <c r="I23" s="157">
        <v>0</v>
      </c>
      <c r="J23" s="157">
        <v>0</v>
      </c>
      <c r="K23" s="157">
        <v>1</v>
      </c>
      <c r="L23" s="157">
        <v>0</v>
      </c>
      <c r="M23" s="157">
        <v>0</v>
      </c>
      <c r="N23" s="157">
        <v>0</v>
      </c>
      <c r="O23" s="157">
        <v>0</v>
      </c>
      <c r="P23" s="157">
        <v>0</v>
      </c>
      <c r="Q23" s="157">
        <v>0</v>
      </c>
      <c r="R23" s="157">
        <v>0</v>
      </c>
      <c r="S23" s="157">
        <v>0</v>
      </c>
      <c r="T23" s="157">
        <v>0</v>
      </c>
      <c r="U23" s="157">
        <v>0</v>
      </c>
      <c r="V23" s="157">
        <v>0</v>
      </c>
      <c r="W23" s="157">
        <v>0</v>
      </c>
      <c r="X23" s="157">
        <v>0</v>
      </c>
      <c r="Y23" s="157">
        <v>0</v>
      </c>
      <c r="Z23" s="157">
        <v>0</v>
      </c>
      <c r="AA23" s="157">
        <v>0</v>
      </c>
      <c r="AB23" s="157">
        <v>0</v>
      </c>
      <c r="AC23" s="157">
        <v>0</v>
      </c>
      <c r="AD23" s="157">
        <v>0</v>
      </c>
      <c r="AE23" s="157">
        <v>0</v>
      </c>
      <c r="AF23" s="157">
        <v>1</v>
      </c>
      <c r="AG23" s="157">
        <v>0</v>
      </c>
      <c r="AH23" s="157">
        <v>1</v>
      </c>
      <c r="AI23" s="157">
        <v>0</v>
      </c>
      <c r="AJ23" s="157">
        <v>0</v>
      </c>
      <c r="AK23" s="157">
        <v>1</v>
      </c>
      <c r="AL23" s="157">
        <v>0</v>
      </c>
      <c r="AM23" s="157">
        <v>0</v>
      </c>
      <c r="AN23" s="157">
        <v>0</v>
      </c>
      <c r="AO23" s="157">
        <v>0</v>
      </c>
      <c r="AP23" s="157">
        <v>0</v>
      </c>
      <c r="AQ23" s="157">
        <v>0</v>
      </c>
      <c r="AR23" s="157">
        <v>0</v>
      </c>
      <c r="AS23" s="157">
        <v>0</v>
      </c>
      <c r="AT23" s="157">
        <v>0</v>
      </c>
      <c r="AU23" s="157">
        <v>0</v>
      </c>
      <c r="AV23" s="157">
        <v>0</v>
      </c>
      <c r="AW23" s="157">
        <v>0</v>
      </c>
      <c r="AX23" s="157">
        <v>0</v>
      </c>
      <c r="AY23" s="157">
        <v>0</v>
      </c>
      <c r="AZ23" s="157">
        <v>0</v>
      </c>
    </row>
    <row r="24" spans="1:52" s="5" customFormat="1" ht="12" customHeight="1">
      <c r="A24" s="19">
        <v>21</v>
      </c>
      <c r="B24" s="21" t="str">
        <f>Population!B24</f>
        <v>KINDIA</v>
      </c>
      <c r="C24" s="21" t="str">
        <f>Population!C24</f>
        <v>Dubréka</v>
      </c>
      <c r="D24" s="157">
        <v>1</v>
      </c>
      <c r="E24" s="157">
        <v>0</v>
      </c>
      <c r="F24" s="157">
        <v>0</v>
      </c>
      <c r="G24" s="157">
        <v>0</v>
      </c>
      <c r="H24" s="157">
        <v>0</v>
      </c>
      <c r="I24" s="157">
        <v>0</v>
      </c>
      <c r="J24" s="157">
        <v>0</v>
      </c>
      <c r="K24" s="157">
        <v>1</v>
      </c>
      <c r="L24" s="157">
        <v>0</v>
      </c>
      <c r="M24" s="157">
        <v>0</v>
      </c>
      <c r="N24" s="157">
        <v>0</v>
      </c>
      <c r="O24" s="157">
        <v>0</v>
      </c>
      <c r="P24" s="157">
        <v>0</v>
      </c>
      <c r="Q24" s="157">
        <v>0</v>
      </c>
      <c r="R24" s="157">
        <v>0</v>
      </c>
      <c r="S24" s="157">
        <v>0</v>
      </c>
      <c r="T24" s="157">
        <v>0</v>
      </c>
      <c r="U24" s="157">
        <v>0</v>
      </c>
      <c r="V24" s="157">
        <v>0</v>
      </c>
      <c r="W24" s="157">
        <v>0</v>
      </c>
      <c r="X24" s="157">
        <v>0</v>
      </c>
      <c r="Y24" s="157">
        <v>0</v>
      </c>
      <c r="Z24" s="157">
        <v>0</v>
      </c>
      <c r="AA24" s="157">
        <v>0</v>
      </c>
      <c r="AB24" s="157">
        <v>0</v>
      </c>
      <c r="AC24" s="157">
        <v>0</v>
      </c>
      <c r="AD24" s="157">
        <v>0</v>
      </c>
      <c r="AE24" s="157">
        <v>0</v>
      </c>
      <c r="AF24" s="157">
        <v>1</v>
      </c>
      <c r="AG24" s="157">
        <v>0</v>
      </c>
      <c r="AH24" s="157">
        <v>1</v>
      </c>
      <c r="AI24" s="157">
        <v>0</v>
      </c>
      <c r="AJ24" s="157">
        <v>0</v>
      </c>
      <c r="AK24" s="157">
        <v>1</v>
      </c>
      <c r="AL24" s="157">
        <v>0</v>
      </c>
      <c r="AM24" s="157">
        <v>0</v>
      </c>
      <c r="AN24" s="157">
        <v>0</v>
      </c>
      <c r="AO24" s="157">
        <v>0</v>
      </c>
      <c r="AP24" s="157">
        <v>0</v>
      </c>
      <c r="AQ24" s="157">
        <v>0</v>
      </c>
      <c r="AR24" s="157">
        <v>0</v>
      </c>
      <c r="AS24" s="157">
        <v>0</v>
      </c>
      <c r="AT24" s="157">
        <v>0</v>
      </c>
      <c r="AU24" s="157">
        <v>0</v>
      </c>
      <c r="AV24" s="157">
        <v>0</v>
      </c>
      <c r="AW24" s="157">
        <v>0</v>
      </c>
      <c r="AX24" s="157">
        <v>0</v>
      </c>
      <c r="AY24" s="157">
        <v>0</v>
      </c>
      <c r="AZ24" s="157">
        <v>0</v>
      </c>
    </row>
    <row r="25" spans="1:52" s="5" customFormat="1" ht="12" customHeight="1">
      <c r="A25" s="19">
        <v>22</v>
      </c>
      <c r="B25" s="21" t="str">
        <f>Population!B25</f>
        <v>KINDIA</v>
      </c>
      <c r="C25" s="21" t="str">
        <f>Population!C25</f>
        <v>Forécariah</v>
      </c>
      <c r="D25" s="157">
        <v>1</v>
      </c>
      <c r="E25" s="157">
        <v>0</v>
      </c>
      <c r="F25" s="157">
        <v>0</v>
      </c>
      <c r="G25" s="157">
        <v>0</v>
      </c>
      <c r="H25" s="157">
        <v>0</v>
      </c>
      <c r="I25" s="157">
        <v>0</v>
      </c>
      <c r="J25" s="157">
        <v>0</v>
      </c>
      <c r="K25" s="157">
        <v>1</v>
      </c>
      <c r="L25" s="157">
        <v>0</v>
      </c>
      <c r="M25" s="157">
        <v>0</v>
      </c>
      <c r="N25" s="157">
        <v>0</v>
      </c>
      <c r="O25" s="157">
        <v>0</v>
      </c>
      <c r="P25" s="157">
        <v>0</v>
      </c>
      <c r="Q25" s="157">
        <v>0</v>
      </c>
      <c r="R25" s="157">
        <v>1</v>
      </c>
      <c r="S25" s="157">
        <v>1</v>
      </c>
      <c r="T25" s="157">
        <v>1</v>
      </c>
      <c r="U25" s="157">
        <v>1</v>
      </c>
      <c r="V25" s="157">
        <v>1</v>
      </c>
      <c r="W25" s="157">
        <v>1</v>
      </c>
      <c r="X25" s="157">
        <v>1</v>
      </c>
      <c r="Y25" s="157">
        <v>1</v>
      </c>
      <c r="Z25" s="157">
        <v>1</v>
      </c>
      <c r="AA25" s="157">
        <v>1</v>
      </c>
      <c r="AB25" s="157">
        <v>1</v>
      </c>
      <c r="AC25" s="157">
        <v>1</v>
      </c>
      <c r="AD25" s="157">
        <v>1</v>
      </c>
      <c r="AE25" s="157">
        <v>1</v>
      </c>
      <c r="AF25" s="157">
        <v>1</v>
      </c>
      <c r="AG25" s="157">
        <v>1</v>
      </c>
      <c r="AH25" s="157">
        <v>0</v>
      </c>
      <c r="AI25" s="157">
        <v>0</v>
      </c>
      <c r="AJ25" s="157">
        <v>1</v>
      </c>
      <c r="AK25" s="157">
        <v>0</v>
      </c>
      <c r="AL25" s="157">
        <v>0</v>
      </c>
      <c r="AM25" s="157">
        <v>1</v>
      </c>
      <c r="AN25" s="157">
        <v>1</v>
      </c>
      <c r="AO25" s="157">
        <v>1</v>
      </c>
      <c r="AP25" s="157">
        <v>1</v>
      </c>
      <c r="AQ25" s="157">
        <v>1</v>
      </c>
      <c r="AR25" s="157">
        <v>1</v>
      </c>
      <c r="AS25" s="157">
        <v>1</v>
      </c>
      <c r="AT25" s="157">
        <v>1</v>
      </c>
      <c r="AU25" s="157">
        <v>1</v>
      </c>
      <c r="AV25" s="157">
        <v>0</v>
      </c>
      <c r="AW25" s="157">
        <v>0</v>
      </c>
      <c r="AX25" s="157">
        <v>0</v>
      </c>
      <c r="AY25" s="157">
        <v>0</v>
      </c>
      <c r="AZ25" s="157">
        <v>0</v>
      </c>
    </row>
    <row r="26" spans="1:52" s="5" customFormat="1" ht="12" customHeight="1">
      <c r="A26" s="19">
        <v>23</v>
      </c>
      <c r="B26" s="21" t="str">
        <f>Population!B26</f>
        <v>KINDIA</v>
      </c>
      <c r="C26" s="21" t="str">
        <f>Population!C26</f>
        <v>Kindia</v>
      </c>
      <c r="D26" s="157">
        <v>0</v>
      </c>
      <c r="E26" s="157">
        <v>0</v>
      </c>
      <c r="F26" s="157">
        <v>0</v>
      </c>
      <c r="G26" s="157">
        <v>0</v>
      </c>
      <c r="H26" s="157">
        <v>0</v>
      </c>
      <c r="I26" s="157">
        <v>0</v>
      </c>
      <c r="J26" s="157">
        <v>0</v>
      </c>
      <c r="K26" s="157">
        <v>1</v>
      </c>
      <c r="L26" s="157">
        <v>0</v>
      </c>
      <c r="M26" s="157">
        <v>0</v>
      </c>
      <c r="N26" s="157">
        <v>0</v>
      </c>
      <c r="O26" s="157">
        <v>0</v>
      </c>
      <c r="P26" s="157">
        <v>0</v>
      </c>
      <c r="Q26" s="157">
        <v>0</v>
      </c>
      <c r="R26" s="157">
        <v>1</v>
      </c>
      <c r="S26" s="157">
        <v>1</v>
      </c>
      <c r="T26" s="157">
        <v>1</v>
      </c>
      <c r="U26" s="157">
        <v>1</v>
      </c>
      <c r="V26" s="157">
        <v>1</v>
      </c>
      <c r="W26" s="157">
        <v>1</v>
      </c>
      <c r="X26" s="157">
        <v>1</v>
      </c>
      <c r="Y26" s="157">
        <v>1</v>
      </c>
      <c r="Z26" s="157">
        <v>1</v>
      </c>
      <c r="AA26" s="157">
        <v>1</v>
      </c>
      <c r="AB26" s="157">
        <v>1</v>
      </c>
      <c r="AC26" s="157">
        <v>1</v>
      </c>
      <c r="AD26" s="157">
        <v>1</v>
      </c>
      <c r="AE26" s="157">
        <v>1</v>
      </c>
      <c r="AF26" s="157">
        <v>1</v>
      </c>
      <c r="AG26" s="157">
        <v>1</v>
      </c>
      <c r="AH26" s="157">
        <v>1</v>
      </c>
      <c r="AI26" s="157">
        <v>1</v>
      </c>
      <c r="AJ26" s="157">
        <v>1</v>
      </c>
      <c r="AK26" s="157">
        <v>1</v>
      </c>
      <c r="AL26" s="157">
        <v>1</v>
      </c>
      <c r="AM26" s="157">
        <v>1</v>
      </c>
      <c r="AN26" s="157">
        <v>1</v>
      </c>
      <c r="AO26" s="157">
        <v>1</v>
      </c>
      <c r="AP26" s="157">
        <v>1</v>
      </c>
      <c r="AQ26" s="157">
        <v>1</v>
      </c>
      <c r="AR26" s="157">
        <v>1</v>
      </c>
      <c r="AS26" s="157">
        <v>1</v>
      </c>
      <c r="AT26" s="157">
        <v>0</v>
      </c>
      <c r="AU26" s="157">
        <v>0</v>
      </c>
      <c r="AV26" s="157">
        <v>0</v>
      </c>
      <c r="AW26" s="157">
        <v>0</v>
      </c>
      <c r="AX26" s="157">
        <v>0</v>
      </c>
      <c r="AY26" s="157">
        <v>0</v>
      </c>
      <c r="AZ26" s="157">
        <v>0</v>
      </c>
    </row>
    <row r="27" spans="1:52" s="5" customFormat="1" ht="12" customHeight="1">
      <c r="A27" s="19">
        <v>24</v>
      </c>
      <c r="B27" s="21" t="str">
        <f>Population!B27</f>
        <v>KINDIA</v>
      </c>
      <c r="C27" s="21" t="str">
        <f>Population!C27</f>
        <v>Télimélé</v>
      </c>
      <c r="D27" s="157">
        <v>0</v>
      </c>
      <c r="E27" s="157">
        <v>0</v>
      </c>
      <c r="F27" s="157">
        <v>0</v>
      </c>
      <c r="G27" s="157">
        <v>0</v>
      </c>
      <c r="H27" s="157">
        <v>0</v>
      </c>
      <c r="I27" s="157">
        <v>0</v>
      </c>
      <c r="J27" s="157">
        <v>0</v>
      </c>
      <c r="K27" s="157">
        <v>1</v>
      </c>
      <c r="L27" s="157">
        <v>0</v>
      </c>
      <c r="M27" s="157">
        <v>0</v>
      </c>
      <c r="N27" s="157">
        <v>0</v>
      </c>
      <c r="O27" s="157">
        <v>0</v>
      </c>
      <c r="P27" s="157">
        <v>0</v>
      </c>
      <c r="Q27" s="157">
        <v>0</v>
      </c>
      <c r="R27" s="157">
        <v>1</v>
      </c>
      <c r="S27" s="157">
        <v>1</v>
      </c>
      <c r="T27" s="157">
        <v>1</v>
      </c>
      <c r="U27" s="157">
        <v>1</v>
      </c>
      <c r="V27" s="157">
        <v>1</v>
      </c>
      <c r="W27" s="157">
        <v>1</v>
      </c>
      <c r="X27" s="157">
        <v>1</v>
      </c>
      <c r="Y27" s="157">
        <v>0</v>
      </c>
      <c r="Z27" s="157">
        <v>0</v>
      </c>
      <c r="AA27" s="157">
        <v>0</v>
      </c>
      <c r="AB27" s="157">
        <v>0</v>
      </c>
      <c r="AC27" s="157">
        <v>0</v>
      </c>
      <c r="AD27" s="157">
        <v>0</v>
      </c>
      <c r="AE27" s="157">
        <v>0</v>
      </c>
      <c r="AF27" s="157">
        <v>1</v>
      </c>
      <c r="AG27" s="157">
        <v>1</v>
      </c>
      <c r="AH27" s="157">
        <v>0</v>
      </c>
      <c r="AI27" s="157">
        <v>0</v>
      </c>
      <c r="AJ27" s="157">
        <v>1</v>
      </c>
      <c r="AK27" s="157">
        <v>0</v>
      </c>
      <c r="AL27" s="157">
        <v>0</v>
      </c>
      <c r="AM27" s="157">
        <v>1</v>
      </c>
      <c r="AN27" s="157">
        <v>1</v>
      </c>
      <c r="AO27" s="157">
        <v>1</v>
      </c>
      <c r="AP27" s="157">
        <v>1</v>
      </c>
      <c r="AQ27" s="157">
        <v>1</v>
      </c>
      <c r="AR27" s="157">
        <v>1</v>
      </c>
      <c r="AS27" s="157">
        <v>1</v>
      </c>
      <c r="AT27" s="157">
        <v>1</v>
      </c>
      <c r="AU27" s="157">
        <v>1</v>
      </c>
      <c r="AV27" s="157">
        <v>0</v>
      </c>
      <c r="AW27" s="157">
        <v>0</v>
      </c>
      <c r="AX27" s="157">
        <v>0</v>
      </c>
      <c r="AY27" s="157">
        <v>0</v>
      </c>
      <c r="AZ27" s="157">
        <v>0</v>
      </c>
    </row>
    <row r="28" spans="1:52" s="5" customFormat="1" ht="12" customHeight="1">
      <c r="A28" s="19">
        <v>25</v>
      </c>
      <c r="B28" s="21" t="str">
        <f>Population!B28</f>
        <v>LABE</v>
      </c>
      <c r="C28" s="21" t="str">
        <f>Population!C28</f>
        <v>Koubia</v>
      </c>
      <c r="D28" s="157">
        <v>0</v>
      </c>
      <c r="E28" s="157">
        <v>0</v>
      </c>
      <c r="F28" s="157">
        <v>0</v>
      </c>
      <c r="G28" s="157">
        <v>0</v>
      </c>
      <c r="H28" s="157">
        <v>0</v>
      </c>
      <c r="I28" s="157">
        <v>0</v>
      </c>
      <c r="J28" s="157">
        <v>0</v>
      </c>
      <c r="K28" s="157">
        <v>1</v>
      </c>
      <c r="L28" s="157">
        <v>0</v>
      </c>
      <c r="M28" s="157">
        <v>0</v>
      </c>
      <c r="N28" s="157">
        <v>0</v>
      </c>
      <c r="O28" s="157">
        <v>0</v>
      </c>
      <c r="P28" s="157">
        <v>0</v>
      </c>
      <c r="Q28" s="157">
        <v>0</v>
      </c>
      <c r="R28" s="157">
        <v>0</v>
      </c>
      <c r="S28" s="157">
        <v>0</v>
      </c>
      <c r="T28" s="157">
        <v>0</v>
      </c>
      <c r="U28" s="157">
        <v>0</v>
      </c>
      <c r="V28" s="157">
        <v>0</v>
      </c>
      <c r="W28" s="157">
        <v>0</v>
      </c>
      <c r="X28" s="157">
        <v>0</v>
      </c>
      <c r="Y28" s="157">
        <v>1</v>
      </c>
      <c r="Z28" s="157">
        <v>1</v>
      </c>
      <c r="AA28" s="157">
        <v>1</v>
      </c>
      <c r="AB28" s="157">
        <v>1</v>
      </c>
      <c r="AC28" s="157">
        <v>1</v>
      </c>
      <c r="AD28" s="157">
        <v>1</v>
      </c>
      <c r="AE28" s="157">
        <v>1</v>
      </c>
      <c r="AF28" s="157">
        <v>1</v>
      </c>
      <c r="AG28" s="157">
        <v>0</v>
      </c>
      <c r="AH28" s="157">
        <v>1</v>
      </c>
      <c r="AI28" s="157">
        <v>0</v>
      </c>
      <c r="AJ28" s="157">
        <v>1</v>
      </c>
      <c r="AK28" s="157">
        <v>0</v>
      </c>
      <c r="AL28" s="157">
        <v>1</v>
      </c>
      <c r="AM28" s="157">
        <v>0</v>
      </c>
      <c r="AN28" s="157">
        <v>0</v>
      </c>
      <c r="AO28" s="157">
        <v>0</v>
      </c>
      <c r="AP28" s="157">
        <v>0</v>
      </c>
      <c r="AQ28" s="157">
        <v>0</v>
      </c>
      <c r="AR28" s="157">
        <v>0</v>
      </c>
      <c r="AS28" s="157">
        <v>0</v>
      </c>
      <c r="AT28" s="157">
        <v>0</v>
      </c>
      <c r="AU28" s="157">
        <v>0</v>
      </c>
      <c r="AV28" s="157">
        <v>0</v>
      </c>
      <c r="AW28" s="157">
        <v>0</v>
      </c>
      <c r="AX28" s="157">
        <v>0</v>
      </c>
      <c r="AY28" s="157">
        <v>0</v>
      </c>
      <c r="AZ28" s="157">
        <v>0</v>
      </c>
    </row>
    <row r="29" spans="1:52" s="5" customFormat="1" ht="12" customHeight="1">
      <c r="A29" s="19">
        <v>26</v>
      </c>
      <c r="B29" s="21" t="str">
        <f>Population!B29</f>
        <v>LABE</v>
      </c>
      <c r="C29" s="21" t="str">
        <f>Population!C29</f>
        <v>Labé</v>
      </c>
      <c r="D29" s="157">
        <v>0</v>
      </c>
      <c r="E29" s="157">
        <v>0</v>
      </c>
      <c r="F29" s="157">
        <v>0</v>
      </c>
      <c r="G29" s="157">
        <v>0</v>
      </c>
      <c r="H29" s="157">
        <v>0</v>
      </c>
      <c r="I29" s="157">
        <v>0</v>
      </c>
      <c r="J29" s="157">
        <v>0</v>
      </c>
      <c r="K29" s="157">
        <v>1</v>
      </c>
      <c r="L29" s="157">
        <v>0</v>
      </c>
      <c r="M29" s="157">
        <v>0</v>
      </c>
      <c r="N29" s="157">
        <v>0</v>
      </c>
      <c r="O29" s="157">
        <v>0</v>
      </c>
      <c r="P29" s="157">
        <v>0</v>
      </c>
      <c r="Q29" s="157">
        <v>0</v>
      </c>
      <c r="R29" s="157">
        <v>0</v>
      </c>
      <c r="S29" s="157">
        <v>0</v>
      </c>
      <c r="T29" s="157">
        <v>0</v>
      </c>
      <c r="U29" s="157">
        <v>0</v>
      </c>
      <c r="V29" s="157">
        <v>0</v>
      </c>
      <c r="W29" s="157">
        <v>0</v>
      </c>
      <c r="X29" s="157">
        <v>0</v>
      </c>
      <c r="Y29" s="157">
        <v>0</v>
      </c>
      <c r="Z29" s="157">
        <v>0</v>
      </c>
      <c r="AA29" s="157">
        <v>0</v>
      </c>
      <c r="AB29" s="157">
        <v>0</v>
      </c>
      <c r="AC29" s="157">
        <v>0</v>
      </c>
      <c r="AD29" s="157">
        <v>0</v>
      </c>
      <c r="AE29" s="157">
        <v>0</v>
      </c>
      <c r="AF29" s="157">
        <v>1</v>
      </c>
      <c r="AG29" s="157">
        <v>1</v>
      </c>
      <c r="AH29" s="157">
        <v>0</v>
      </c>
      <c r="AI29" s="157">
        <v>0</v>
      </c>
      <c r="AJ29" s="157">
        <v>1</v>
      </c>
      <c r="AK29" s="157">
        <v>0</v>
      </c>
      <c r="AL29" s="157">
        <v>0</v>
      </c>
      <c r="AM29" s="157">
        <v>0</v>
      </c>
      <c r="AN29" s="157">
        <v>0</v>
      </c>
      <c r="AO29" s="157">
        <v>0</v>
      </c>
      <c r="AP29" s="157">
        <v>0</v>
      </c>
      <c r="AQ29" s="157">
        <v>0</v>
      </c>
      <c r="AR29" s="157">
        <v>0</v>
      </c>
      <c r="AS29" s="157">
        <v>0</v>
      </c>
      <c r="AT29" s="157">
        <v>0</v>
      </c>
      <c r="AU29" s="157">
        <v>0</v>
      </c>
      <c r="AV29" s="157">
        <v>0</v>
      </c>
      <c r="AW29" s="157">
        <v>0</v>
      </c>
      <c r="AX29" s="157">
        <v>0</v>
      </c>
      <c r="AY29" s="157">
        <v>0</v>
      </c>
      <c r="AZ29" s="157">
        <v>0</v>
      </c>
    </row>
    <row r="30" spans="1:52" s="5" customFormat="1" ht="12" customHeight="1">
      <c r="A30" s="19">
        <v>27</v>
      </c>
      <c r="B30" s="21" t="str">
        <f>Population!B30</f>
        <v>LABE</v>
      </c>
      <c r="C30" s="21" t="str">
        <f>Population!C30</f>
        <v>Lélouma</v>
      </c>
      <c r="D30" s="157">
        <v>0</v>
      </c>
      <c r="E30" s="157">
        <v>0</v>
      </c>
      <c r="F30" s="157">
        <v>0</v>
      </c>
      <c r="G30" s="157">
        <v>0</v>
      </c>
      <c r="H30" s="157">
        <v>0</v>
      </c>
      <c r="I30" s="157">
        <v>0</v>
      </c>
      <c r="J30" s="157">
        <v>0</v>
      </c>
      <c r="K30" s="157">
        <v>1</v>
      </c>
      <c r="L30" s="157">
        <v>0</v>
      </c>
      <c r="M30" s="157">
        <v>0</v>
      </c>
      <c r="N30" s="157">
        <v>0</v>
      </c>
      <c r="O30" s="157">
        <v>0</v>
      </c>
      <c r="P30" s="157">
        <v>0</v>
      </c>
      <c r="Q30" s="157">
        <v>0</v>
      </c>
      <c r="R30" s="157">
        <v>1</v>
      </c>
      <c r="S30" s="157">
        <v>1</v>
      </c>
      <c r="T30" s="157">
        <v>1</v>
      </c>
      <c r="U30" s="157">
        <v>1</v>
      </c>
      <c r="V30" s="157">
        <v>1</v>
      </c>
      <c r="W30" s="157">
        <v>1</v>
      </c>
      <c r="X30" s="157">
        <v>1</v>
      </c>
      <c r="Y30" s="157">
        <v>1</v>
      </c>
      <c r="Z30" s="157">
        <v>1</v>
      </c>
      <c r="AA30" s="157">
        <v>1</v>
      </c>
      <c r="AB30" s="157">
        <v>1</v>
      </c>
      <c r="AC30" s="157">
        <v>1</v>
      </c>
      <c r="AD30" s="157">
        <v>1</v>
      </c>
      <c r="AE30" s="157">
        <v>1</v>
      </c>
      <c r="AF30" s="157">
        <v>1</v>
      </c>
      <c r="AG30" s="157">
        <v>1</v>
      </c>
      <c r="AH30" s="157">
        <v>1</v>
      </c>
      <c r="AI30" s="157">
        <v>1</v>
      </c>
      <c r="AJ30" s="157">
        <v>1</v>
      </c>
      <c r="AK30" s="157">
        <v>1</v>
      </c>
      <c r="AL30" s="157">
        <v>1</v>
      </c>
      <c r="AM30" s="157">
        <v>1</v>
      </c>
      <c r="AN30" s="157">
        <v>1</v>
      </c>
      <c r="AO30" s="157">
        <v>1</v>
      </c>
      <c r="AP30" s="157">
        <v>1</v>
      </c>
      <c r="AQ30" s="157">
        <v>1</v>
      </c>
      <c r="AR30" s="157">
        <v>1</v>
      </c>
      <c r="AS30" s="157">
        <v>1</v>
      </c>
      <c r="AT30" s="157">
        <v>0</v>
      </c>
      <c r="AU30" s="157">
        <v>0</v>
      </c>
      <c r="AV30" s="157">
        <v>0</v>
      </c>
      <c r="AW30" s="157">
        <v>0</v>
      </c>
      <c r="AX30" s="157">
        <v>0</v>
      </c>
      <c r="AY30" s="157">
        <v>0</v>
      </c>
      <c r="AZ30" s="157">
        <v>0</v>
      </c>
    </row>
    <row r="31" spans="1:52" s="5" customFormat="1" ht="12" customHeight="1">
      <c r="A31" s="19">
        <v>28</v>
      </c>
      <c r="B31" s="21" t="str">
        <f>Population!B31</f>
        <v>LABE</v>
      </c>
      <c r="C31" s="21" t="str">
        <f>Population!C31</f>
        <v>Mali</v>
      </c>
      <c r="D31" s="157">
        <v>0</v>
      </c>
      <c r="E31" s="157">
        <v>0</v>
      </c>
      <c r="F31" s="157">
        <v>0</v>
      </c>
      <c r="G31" s="157">
        <v>0</v>
      </c>
      <c r="H31" s="157">
        <v>0</v>
      </c>
      <c r="I31" s="157">
        <v>0</v>
      </c>
      <c r="J31" s="157">
        <v>0</v>
      </c>
      <c r="K31" s="157">
        <v>1</v>
      </c>
      <c r="L31" s="157">
        <v>0</v>
      </c>
      <c r="M31" s="157">
        <v>0</v>
      </c>
      <c r="N31" s="157">
        <v>0</v>
      </c>
      <c r="O31" s="157">
        <v>0</v>
      </c>
      <c r="P31" s="157">
        <v>0</v>
      </c>
      <c r="Q31" s="157">
        <v>0</v>
      </c>
      <c r="R31" s="157">
        <v>1</v>
      </c>
      <c r="S31" s="157">
        <v>1</v>
      </c>
      <c r="T31" s="157">
        <v>1</v>
      </c>
      <c r="U31" s="157">
        <v>1</v>
      </c>
      <c r="V31" s="157">
        <v>1</v>
      </c>
      <c r="W31" s="157">
        <v>1</v>
      </c>
      <c r="X31" s="157">
        <v>1</v>
      </c>
      <c r="Y31" s="157">
        <v>1</v>
      </c>
      <c r="Z31" s="157">
        <v>1</v>
      </c>
      <c r="AA31" s="157">
        <v>1</v>
      </c>
      <c r="AB31" s="157">
        <v>1</v>
      </c>
      <c r="AC31" s="157">
        <v>1</v>
      </c>
      <c r="AD31" s="157">
        <v>1</v>
      </c>
      <c r="AE31" s="157">
        <v>1</v>
      </c>
      <c r="AF31" s="157">
        <v>1</v>
      </c>
      <c r="AG31" s="157">
        <v>1</v>
      </c>
      <c r="AH31" s="157">
        <v>0</v>
      </c>
      <c r="AI31" s="157">
        <v>0</v>
      </c>
      <c r="AJ31" s="157">
        <v>1</v>
      </c>
      <c r="AK31" s="157">
        <v>0</v>
      </c>
      <c r="AL31" s="157">
        <v>0</v>
      </c>
      <c r="AM31" s="157">
        <v>0</v>
      </c>
      <c r="AN31" s="157">
        <v>0</v>
      </c>
      <c r="AO31" s="157">
        <v>0</v>
      </c>
      <c r="AP31" s="157">
        <v>0</v>
      </c>
      <c r="AQ31" s="157">
        <v>0</v>
      </c>
      <c r="AR31" s="157">
        <v>0</v>
      </c>
      <c r="AS31" s="157">
        <v>0</v>
      </c>
      <c r="AT31" s="157">
        <v>1</v>
      </c>
      <c r="AU31" s="157">
        <v>0</v>
      </c>
      <c r="AV31" s="157">
        <v>0</v>
      </c>
      <c r="AW31" s="157">
        <v>0</v>
      </c>
      <c r="AX31" s="157">
        <v>0</v>
      </c>
      <c r="AY31" s="157">
        <v>0</v>
      </c>
      <c r="AZ31" s="157">
        <v>0</v>
      </c>
    </row>
    <row r="32" spans="1:52" s="5" customFormat="1" ht="12" customHeight="1">
      <c r="A32" s="19">
        <v>29</v>
      </c>
      <c r="B32" s="21" t="str">
        <f>Population!B32</f>
        <v>LABE</v>
      </c>
      <c r="C32" s="21" t="str">
        <f>Population!C32</f>
        <v>Tougué</v>
      </c>
      <c r="D32" s="157">
        <v>0</v>
      </c>
      <c r="E32" s="157">
        <v>0</v>
      </c>
      <c r="F32" s="157">
        <v>0</v>
      </c>
      <c r="G32" s="157">
        <v>0</v>
      </c>
      <c r="H32" s="157">
        <v>0</v>
      </c>
      <c r="I32" s="157">
        <v>0</v>
      </c>
      <c r="J32" s="157">
        <v>0</v>
      </c>
      <c r="K32" s="157">
        <v>1</v>
      </c>
      <c r="L32" s="157">
        <v>0</v>
      </c>
      <c r="M32" s="157">
        <v>0</v>
      </c>
      <c r="N32" s="157">
        <v>0</v>
      </c>
      <c r="O32" s="157">
        <v>0</v>
      </c>
      <c r="P32" s="157">
        <v>0</v>
      </c>
      <c r="Q32" s="157">
        <v>0</v>
      </c>
      <c r="R32" s="157">
        <v>1</v>
      </c>
      <c r="S32" s="157">
        <v>1</v>
      </c>
      <c r="T32" s="157">
        <v>1</v>
      </c>
      <c r="U32" s="157">
        <v>1</v>
      </c>
      <c r="V32" s="157">
        <v>1</v>
      </c>
      <c r="W32" s="157">
        <v>1</v>
      </c>
      <c r="X32" s="157">
        <v>1</v>
      </c>
      <c r="Y32" s="157">
        <v>1</v>
      </c>
      <c r="Z32" s="157">
        <v>1</v>
      </c>
      <c r="AA32" s="157">
        <v>1</v>
      </c>
      <c r="AB32" s="157">
        <v>1</v>
      </c>
      <c r="AC32" s="157">
        <v>1</v>
      </c>
      <c r="AD32" s="157">
        <v>1</v>
      </c>
      <c r="AE32" s="157">
        <v>1</v>
      </c>
      <c r="AF32" s="157">
        <v>0</v>
      </c>
      <c r="AG32" s="157">
        <v>0</v>
      </c>
      <c r="AH32" s="157">
        <v>0</v>
      </c>
      <c r="AI32" s="157">
        <v>0</v>
      </c>
      <c r="AJ32" s="157">
        <v>0</v>
      </c>
      <c r="AK32" s="157">
        <v>0</v>
      </c>
      <c r="AL32" s="157">
        <v>0</v>
      </c>
      <c r="AM32" s="157">
        <v>0</v>
      </c>
      <c r="AN32" s="157">
        <v>0</v>
      </c>
      <c r="AO32" s="157">
        <v>0</v>
      </c>
      <c r="AP32" s="157">
        <v>0</v>
      </c>
      <c r="AQ32" s="157">
        <v>0</v>
      </c>
      <c r="AR32" s="157">
        <v>0</v>
      </c>
      <c r="AS32" s="157">
        <v>0</v>
      </c>
      <c r="AT32" s="157">
        <v>0</v>
      </c>
      <c r="AU32" s="157">
        <v>0</v>
      </c>
      <c r="AV32" s="157">
        <v>0</v>
      </c>
      <c r="AW32" s="157">
        <v>0</v>
      </c>
      <c r="AX32" s="157">
        <v>0</v>
      </c>
      <c r="AY32" s="157">
        <v>0</v>
      </c>
      <c r="AZ32" s="157">
        <v>0</v>
      </c>
    </row>
    <row r="33" spans="1:52" s="5" customFormat="1" ht="12" customHeight="1">
      <c r="A33" s="19">
        <v>30</v>
      </c>
      <c r="B33" s="21" t="str">
        <f>Population!B33</f>
        <v>MAMOU</v>
      </c>
      <c r="C33" s="21" t="str">
        <f>Population!C33</f>
        <v>Dalaba</v>
      </c>
      <c r="D33" s="157">
        <v>0</v>
      </c>
      <c r="E33" s="157">
        <v>0</v>
      </c>
      <c r="F33" s="157">
        <v>0</v>
      </c>
      <c r="G33" s="157">
        <v>0</v>
      </c>
      <c r="H33" s="157">
        <v>0</v>
      </c>
      <c r="I33" s="157">
        <v>0</v>
      </c>
      <c r="J33" s="157">
        <v>0</v>
      </c>
      <c r="K33" s="157">
        <v>1</v>
      </c>
      <c r="L33" s="157">
        <v>0</v>
      </c>
      <c r="M33" s="157">
        <v>0</v>
      </c>
      <c r="N33" s="157">
        <v>0</v>
      </c>
      <c r="O33" s="157">
        <v>0</v>
      </c>
      <c r="P33" s="157">
        <v>0</v>
      </c>
      <c r="Q33" s="157">
        <v>0</v>
      </c>
      <c r="R33" s="157">
        <v>1</v>
      </c>
      <c r="S33" s="157">
        <v>1</v>
      </c>
      <c r="T33" s="157">
        <v>1</v>
      </c>
      <c r="U33" s="157">
        <v>1</v>
      </c>
      <c r="V33" s="157">
        <v>1</v>
      </c>
      <c r="W33" s="157">
        <v>1</v>
      </c>
      <c r="X33" s="157">
        <v>1</v>
      </c>
      <c r="Y33" s="157">
        <v>0</v>
      </c>
      <c r="Z33" s="157">
        <v>0</v>
      </c>
      <c r="AA33" s="157">
        <v>0</v>
      </c>
      <c r="AB33" s="157">
        <v>0</v>
      </c>
      <c r="AC33" s="157">
        <v>0</v>
      </c>
      <c r="AD33" s="157">
        <v>0</v>
      </c>
      <c r="AE33" s="157">
        <v>0</v>
      </c>
      <c r="AF33" s="157">
        <v>0</v>
      </c>
      <c r="AG33" s="157">
        <v>0</v>
      </c>
      <c r="AH33" s="157">
        <v>0</v>
      </c>
      <c r="AI33" s="157">
        <v>0</v>
      </c>
      <c r="AJ33" s="157">
        <v>0</v>
      </c>
      <c r="AK33" s="157">
        <v>0</v>
      </c>
      <c r="AL33" s="157">
        <v>0</v>
      </c>
      <c r="AM33" s="157">
        <v>1</v>
      </c>
      <c r="AN33" s="157">
        <v>1</v>
      </c>
      <c r="AO33" s="157">
        <v>1</v>
      </c>
      <c r="AP33" s="157">
        <v>1</v>
      </c>
      <c r="AQ33" s="157">
        <v>1</v>
      </c>
      <c r="AR33" s="157">
        <v>1</v>
      </c>
      <c r="AS33" s="157">
        <v>1</v>
      </c>
      <c r="AT33" s="157">
        <v>1</v>
      </c>
      <c r="AU33" s="157">
        <v>1</v>
      </c>
      <c r="AV33" s="157">
        <v>0</v>
      </c>
      <c r="AW33" s="157">
        <v>0</v>
      </c>
      <c r="AX33" s="157">
        <v>0</v>
      </c>
      <c r="AY33" s="157">
        <v>0</v>
      </c>
      <c r="AZ33" s="157">
        <v>0</v>
      </c>
    </row>
    <row r="34" spans="1:52" s="5" customFormat="1" ht="12" customHeight="1">
      <c r="A34" s="19">
        <v>31</v>
      </c>
      <c r="B34" s="21" t="str">
        <f>Population!B34</f>
        <v>MAMOU</v>
      </c>
      <c r="C34" s="21" t="str">
        <f>Population!C34</f>
        <v>Mamou</v>
      </c>
      <c r="D34" s="157">
        <v>0</v>
      </c>
      <c r="E34" s="157">
        <v>0</v>
      </c>
      <c r="F34" s="157">
        <v>0</v>
      </c>
      <c r="G34" s="157">
        <v>0</v>
      </c>
      <c r="H34" s="157">
        <v>0</v>
      </c>
      <c r="I34" s="157">
        <v>0</v>
      </c>
      <c r="J34" s="157">
        <v>0</v>
      </c>
      <c r="K34" s="157">
        <v>1</v>
      </c>
      <c r="L34" s="157">
        <v>0</v>
      </c>
      <c r="M34" s="157">
        <v>0</v>
      </c>
      <c r="N34" s="157">
        <v>0</v>
      </c>
      <c r="O34" s="157">
        <v>0</v>
      </c>
      <c r="P34" s="157">
        <v>0</v>
      </c>
      <c r="Q34" s="157">
        <v>0</v>
      </c>
      <c r="R34" s="157">
        <v>1</v>
      </c>
      <c r="S34" s="157">
        <v>1</v>
      </c>
      <c r="T34" s="157">
        <v>1</v>
      </c>
      <c r="U34" s="157">
        <v>1</v>
      </c>
      <c r="V34" s="157">
        <v>1</v>
      </c>
      <c r="W34" s="157">
        <v>1</v>
      </c>
      <c r="X34" s="157">
        <v>1</v>
      </c>
      <c r="Y34" s="157">
        <v>1</v>
      </c>
      <c r="Z34" s="157">
        <v>1</v>
      </c>
      <c r="AA34" s="157">
        <v>1</v>
      </c>
      <c r="AB34" s="157">
        <v>1</v>
      </c>
      <c r="AC34" s="157">
        <v>1</v>
      </c>
      <c r="AD34" s="157">
        <v>1</v>
      </c>
      <c r="AE34" s="157">
        <v>1</v>
      </c>
      <c r="AF34" s="157">
        <v>1</v>
      </c>
      <c r="AG34" s="157">
        <v>0</v>
      </c>
      <c r="AH34" s="157">
        <v>1</v>
      </c>
      <c r="AI34" s="157">
        <v>0</v>
      </c>
      <c r="AJ34" s="157">
        <v>1</v>
      </c>
      <c r="AK34" s="157">
        <v>0</v>
      </c>
      <c r="AL34" s="157">
        <v>1</v>
      </c>
      <c r="AM34" s="157">
        <v>0</v>
      </c>
      <c r="AN34" s="157">
        <v>0</v>
      </c>
      <c r="AO34" s="157">
        <v>0</v>
      </c>
      <c r="AP34" s="157">
        <v>0</v>
      </c>
      <c r="AQ34" s="157">
        <v>0</v>
      </c>
      <c r="AR34" s="157">
        <v>0</v>
      </c>
      <c r="AS34" s="157">
        <v>0</v>
      </c>
      <c r="AT34" s="157">
        <v>1</v>
      </c>
      <c r="AU34" s="157">
        <v>1</v>
      </c>
      <c r="AV34" s="157">
        <v>0</v>
      </c>
      <c r="AW34" s="157">
        <v>0</v>
      </c>
      <c r="AX34" s="157">
        <v>0</v>
      </c>
      <c r="AY34" s="157">
        <v>0</v>
      </c>
      <c r="AZ34" s="157">
        <v>0</v>
      </c>
    </row>
    <row r="35" spans="1:52" s="5" customFormat="1" ht="12" customHeight="1">
      <c r="A35" s="19">
        <v>32</v>
      </c>
      <c r="B35" s="21" t="str">
        <f>Population!B35</f>
        <v>MAMOU</v>
      </c>
      <c r="C35" s="21" t="str">
        <f>Population!C35</f>
        <v>Pita</v>
      </c>
      <c r="D35" s="157">
        <v>0</v>
      </c>
      <c r="E35" s="157">
        <v>0</v>
      </c>
      <c r="F35" s="157">
        <v>0</v>
      </c>
      <c r="G35" s="157">
        <v>0</v>
      </c>
      <c r="H35" s="157">
        <v>0</v>
      </c>
      <c r="I35" s="157">
        <v>0</v>
      </c>
      <c r="J35" s="157">
        <v>0</v>
      </c>
      <c r="K35" s="157">
        <v>1</v>
      </c>
      <c r="L35" s="157">
        <v>0</v>
      </c>
      <c r="M35" s="157">
        <v>0</v>
      </c>
      <c r="N35" s="157">
        <v>0</v>
      </c>
      <c r="O35" s="157">
        <v>0</v>
      </c>
      <c r="P35" s="157">
        <v>0</v>
      </c>
      <c r="Q35" s="157">
        <v>0</v>
      </c>
      <c r="R35" s="157">
        <v>1</v>
      </c>
      <c r="S35" s="157">
        <v>1</v>
      </c>
      <c r="T35" s="157">
        <v>1</v>
      </c>
      <c r="U35" s="157">
        <v>1</v>
      </c>
      <c r="V35" s="157">
        <v>1</v>
      </c>
      <c r="W35" s="157">
        <v>1</v>
      </c>
      <c r="X35" s="157">
        <v>1</v>
      </c>
      <c r="Y35" s="157">
        <v>0</v>
      </c>
      <c r="Z35" s="157">
        <v>0</v>
      </c>
      <c r="AA35" s="157">
        <v>0</v>
      </c>
      <c r="AB35" s="157">
        <v>0</v>
      </c>
      <c r="AC35" s="157">
        <v>0</v>
      </c>
      <c r="AD35" s="157">
        <v>0</v>
      </c>
      <c r="AE35" s="157">
        <v>0</v>
      </c>
      <c r="AF35" s="157">
        <v>0</v>
      </c>
      <c r="AG35" s="157">
        <v>0</v>
      </c>
      <c r="AH35" s="157">
        <v>0</v>
      </c>
      <c r="AI35" s="157">
        <v>0</v>
      </c>
      <c r="AJ35" s="157">
        <v>0</v>
      </c>
      <c r="AK35" s="157">
        <v>0</v>
      </c>
      <c r="AL35" s="157">
        <v>0</v>
      </c>
      <c r="AM35" s="157">
        <v>1</v>
      </c>
      <c r="AN35" s="157">
        <v>1</v>
      </c>
      <c r="AO35" s="157">
        <v>1</v>
      </c>
      <c r="AP35" s="157">
        <v>1</v>
      </c>
      <c r="AQ35" s="157">
        <v>1</v>
      </c>
      <c r="AR35" s="157">
        <v>1</v>
      </c>
      <c r="AS35" s="157">
        <v>1</v>
      </c>
      <c r="AT35" s="157">
        <v>1</v>
      </c>
      <c r="AU35" s="157">
        <v>1</v>
      </c>
      <c r="AV35" s="157">
        <v>0</v>
      </c>
      <c r="AW35" s="157">
        <v>0</v>
      </c>
      <c r="AX35" s="157">
        <v>0</v>
      </c>
      <c r="AY35" s="157">
        <v>0</v>
      </c>
      <c r="AZ35" s="157">
        <v>0</v>
      </c>
    </row>
    <row r="36" spans="1:52" s="5" customFormat="1" ht="12" customHeight="1">
      <c r="A36" s="19">
        <v>33</v>
      </c>
      <c r="B36" s="21" t="str">
        <f>Population!B36</f>
        <v>N'ZEREKORE</v>
      </c>
      <c r="C36" s="21" t="str">
        <f>Population!C36</f>
        <v>Beyla</v>
      </c>
      <c r="D36" s="157">
        <v>0</v>
      </c>
      <c r="E36" s="157">
        <v>0</v>
      </c>
      <c r="F36" s="157">
        <v>0</v>
      </c>
      <c r="G36" s="157">
        <v>0</v>
      </c>
      <c r="H36" s="157">
        <v>0</v>
      </c>
      <c r="I36" s="157">
        <v>0</v>
      </c>
      <c r="J36" s="157">
        <v>0</v>
      </c>
      <c r="K36" s="157">
        <v>1</v>
      </c>
      <c r="L36" s="157">
        <v>0</v>
      </c>
      <c r="M36" s="157">
        <v>0</v>
      </c>
      <c r="N36" s="157">
        <v>0</v>
      </c>
      <c r="O36" s="157">
        <v>0</v>
      </c>
      <c r="P36" s="157">
        <v>0</v>
      </c>
      <c r="Q36" s="157">
        <v>0</v>
      </c>
      <c r="R36" s="157">
        <v>1</v>
      </c>
      <c r="S36" s="157">
        <v>1</v>
      </c>
      <c r="T36" s="157">
        <v>1</v>
      </c>
      <c r="U36" s="157">
        <v>1</v>
      </c>
      <c r="V36" s="157">
        <v>1</v>
      </c>
      <c r="W36" s="157">
        <v>1</v>
      </c>
      <c r="X36" s="157">
        <v>1</v>
      </c>
      <c r="Y36" s="157">
        <v>1</v>
      </c>
      <c r="Z36" s="157">
        <v>1</v>
      </c>
      <c r="AA36" s="157">
        <v>1</v>
      </c>
      <c r="AB36" s="157">
        <v>1</v>
      </c>
      <c r="AC36" s="157">
        <v>1</v>
      </c>
      <c r="AD36" s="157">
        <v>1</v>
      </c>
      <c r="AE36" s="157">
        <v>1</v>
      </c>
      <c r="AF36" s="157">
        <v>1</v>
      </c>
      <c r="AG36" s="157">
        <v>1</v>
      </c>
      <c r="AH36" s="157">
        <v>1</v>
      </c>
      <c r="AI36" s="157">
        <v>1</v>
      </c>
      <c r="AJ36" s="157">
        <v>1</v>
      </c>
      <c r="AK36" s="157">
        <v>1</v>
      </c>
      <c r="AL36" s="157">
        <v>1</v>
      </c>
      <c r="AM36" s="157">
        <v>1</v>
      </c>
      <c r="AN36" s="157">
        <v>1</v>
      </c>
      <c r="AO36" s="157">
        <v>1</v>
      </c>
      <c r="AP36" s="157">
        <v>1</v>
      </c>
      <c r="AQ36" s="157">
        <v>1</v>
      </c>
      <c r="AR36" s="157">
        <v>1</v>
      </c>
      <c r="AS36" s="157">
        <v>1</v>
      </c>
      <c r="AT36" s="157">
        <v>0</v>
      </c>
      <c r="AU36" s="157">
        <v>0</v>
      </c>
      <c r="AV36" s="157">
        <v>0</v>
      </c>
      <c r="AW36" s="157">
        <v>0</v>
      </c>
      <c r="AX36" s="157">
        <v>0</v>
      </c>
      <c r="AY36" s="157">
        <v>0</v>
      </c>
      <c r="AZ36" s="157">
        <v>0</v>
      </c>
    </row>
    <row r="37" spans="1:52" s="5" customFormat="1" ht="12" customHeight="1">
      <c r="A37" s="19">
        <v>34</v>
      </c>
      <c r="B37" s="21" t="str">
        <f>Population!B37</f>
        <v>N'ZEREKORE</v>
      </c>
      <c r="C37" s="21" t="str">
        <f>Population!C37</f>
        <v>Guéckédou</v>
      </c>
      <c r="D37" s="157">
        <v>0</v>
      </c>
      <c r="E37" s="157">
        <v>0</v>
      </c>
      <c r="F37" s="157">
        <v>0</v>
      </c>
      <c r="G37" s="157">
        <v>0</v>
      </c>
      <c r="H37" s="157">
        <v>0</v>
      </c>
      <c r="I37" s="157">
        <v>0</v>
      </c>
      <c r="J37" s="157">
        <v>0</v>
      </c>
      <c r="K37" s="157">
        <v>1</v>
      </c>
      <c r="L37" s="157">
        <v>0</v>
      </c>
      <c r="M37" s="157">
        <v>0</v>
      </c>
      <c r="N37" s="157">
        <v>0</v>
      </c>
      <c r="O37" s="157">
        <v>0</v>
      </c>
      <c r="P37" s="157">
        <v>0</v>
      </c>
      <c r="Q37" s="157">
        <v>0</v>
      </c>
      <c r="R37" s="157">
        <v>1</v>
      </c>
      <c r="S37" s="157">
        <v>1</v>
      </c>
      <c r="T37" s="157">
        <v>1</v>
      </c>
      <c r="U37" s="157">
        <v>1</v>
      </c>
      <c r="V37" s="157">
        <v>1</v>
      </c>
      <c r="W37" s="157">
        <v>1</v>
      </c>
      <c r="X37" s="157">
        <v>1</v>
      </c>
      <c r="Y37" s="157">
        <v>1</v>
      </c>
      <c r="Z37" s="157">
        <v>1</v>
      </c>
      <c r="AA37" s="157">
        <v>1</v>
      </c>
      <c r="AB37" s="157">
        <v>1</v>
      </c>
      <c r="AC37" s="157">
        <v>1</v>
      </c>
      <c r="AD37" s="157">
        <v>1</v>
      </c>
      <c r="AE37" s="157">
        <v>1</v>
      </c>
      <c r="AF37" s="157">
        <v>1</v>
      </c>
      <c r="AG37" s="157">
        <v>1</v>
      </c>
      <c r="AH37" s="157">
        <v>1</v>
      </c>
      <c r="AI37" s="157">
        <v>1</v>
      </c>
      <c r="AJ37" s="157">
        <v>1</v>
      </c>
      <c r="AK37" s="157">
        <v>1</v>
      </c>
      <c r="AL37" s="157">
        <v>1</v>
      </c>
      <c r="AM37" s="157">
        <v>1</v>
      </c>
      <c r="AN37" s="157">
        <v>1</v>
      </c>
      <c r="AO37" s="157">
        <v>1</v>
      </c>
      <c r="AP37" s="157">
        <v>1</v>
      </c>
      <c r="AQ37" s="157">
        <v>1</v>
      </c>
      <c r="AR37" s="157">
        <v>1</v>
      </c>
      <c r="AS37" s="157">
        <v>1</v>
      </c>
      <c r="AT37" s="157">
        <v>0</v>
      </c>
      <c r="AU37" s="157">
        <v>0</v>
      </c>
      <c r="AV37" s="157">
        <v>0</v>
      </c>
      <c r="AW37" s="157">
        <v>0</v>
      </c>
      <c r="AX37" s="157">
        <v>0</v>
      </c>
      <c r="AY37" s="157">
        <v>0</v>
      </c>
      <c r="AZ37" s="157">
        <v>0</v>
      </c>
    </row>
    <row r="38" spans="1:52" s="5" customFormat="1" ht="12" customHeight="1">
      <c r="A38" s="19">
        <v>35</v>
      </c>
      <c r="B38" s="21" t="str">
        <f>Population!B38</f>
        <v>N'ZEREKORE</v>
      </c>
      <c r="C38" s="21" t="str">
        <f>Population!C38</f>
        <v>Lola</v>
      </c>
      <c r="D38" s="157">
        <v>0</v>
      </c>
      <c r="E38" s="157">
        <v>0</v>
      </c>
      <c r="F38" s="157">
        <v>0</v>
      </c>
      <c r="G38" s="157">
        <v>0</v>
      </c>
      <c r="H38" s="157">
        <v>0</v>
      </c>
      <c r="I38" s="157">
        <v>0</v>
      </c>
      <c r="J38" s="157">
        <v>0</v>
      </c>
      <c r="K38" s="157">
        <v>1</v>
      </c>
      <c r="L38" s="157">
        <v>0</v>
      </c>
      <c r="M38" s="157">
        <v>0</v>
      </c>
      <c r="N38" s="157">
        <v>0</v>
      </c>
      <c r="O38" s="157">
        <v>0</v>
      </c>
      <c r="P38" s="157">
        <v>0</v>
      </c>
      <c r="Q38" s="157">
        <v>0</v>
      </c>
      <c r="R38" s="157">
        <v>0</v>
      </c>
      <c r="S38" s="157">
        <v>0</v>
      </c>
      <c r="T38" s="157">
        <v>0</v>
      </c>
      <c r="U38" s="157">
        <v>0</v>
      </c>
      <c r="V38" s="157">
        <v>0</v>
      </c>
      <c r="W38" s="157">
        <v>0</v>
      </c>
      <c r="X38" s="157">
        <v>0</v>
      </c>
      <c r="Y38" s="157">
        <v>1</v>
      </c>
      <c r="Z38" s="157">
        <v>1</v>
      </c>
      <c r="AA38" s="157">
        <v>1</v>
      </c>
      <c r="AB38" s="157">
        <v>1</v>
      </c>
      <c r="AC38" s="157">
        <v>1</v>
      </c>
      <c r="AD38" s="157">
        <v>1</v>
      </c>
      <c r="AE38" s="157">
        <v>1</v>
      </c>
      <c r="AF38" s="157">
        <v>1</v>
      </c>
      <c r="AG38" s="157">
        <v>1</v>
      </c>
      <c r="AH38" s="157">
        <v>1</v>
      </c>
      <c r="AI38" s="157">
        <v>1</v>
      </c>
      <c r="AJ38" s="157">
        <v>1</v>
      </c>
      <c r="AK38" s="157">
        <v>1</v>
      </c>
      <c r="AL38" s="157">
        <v>1</v>
      </c>
      <c r="AM38" s="157">
        <v>1</v>
      </c>
      <c r="AN38" s="157">
        <v>1</v>
      </c>
      <c r="AO38" s="157">
        <v>1</v>
      </c>
      <c r="AP38" s="157">
        <v>1</v>
      </c>
      <c r="AQ38" s="157">
        <v>1</v>
      </c>
      <c r="AR38" s="157">
        <v>1</v>
      </c>
      <c r="AS38" s="157">
        <v>1</v>
      </c>
      <c r="AT38" s="157">
        <v>0</v>
      </c>
      <c r="AU38" s="157">
        <v>0</v>
      </c>
      <c r="AV38" s="157">
        <v>0</v>
      </c>
      <c r="AW38" s="157">
        <v>0</v>
      </c>
      <c r="AX38" s="157">
        <v>0</v>
      </c>
      <c r="AY38" s="157">
        <v>0</v>
      </c>
      <c r="AZ38" s="157">
        <v>0</v>
      </c>
    </row>
    <row r="39" spans="1:52" s="5" customFormat="1" ht="12" customHeight="1">
      <c r="A39" s="19">
        <v>36</v>
      </c>
      <c r="B39" s="21" t="str">
        <f>Population!B39</f>
        <v>N'ZEREKORE</v>
      </c>
      <c r="C39" s="21" t="str">
        <f>Population!C39</f>
        <v>Macenta</v>
      </c>
      <c r="D39" s="157">
        <v>0</v>
      </c>
      <c r="E39" s="157">
        <v>0</v>
      </c>
      <c r="F39" s="157">
        <v>0</v>
      </c>
      <c r="G39" s="157">
        <v>0</v>
      </c>
      <c r="H39" s="157">
        <v>0</v>
      </c>
      <c r="I39" s="157">
        <v>0</v>
      </c>
      <c r="J39" s="157">
        <v>0</v>
      </c>
      <c r="K39" s="157">
        <v>1</v>
      </c>
      <c r="L39" s="157">
        <v>0</v>
      </c>
      <c r="M39" s="157">
        <v>0</v>
      </c>
      <c r="N39" s="157">
        <v>0</v>
      </c>
      <c r="O39" s="157">
        <v>0</v>
      </c>
      <c r="P39" s="157">
        <v>0</v>
      </c>
      <c r="Q39" s="157">
        <v>0</v>
      </c>
      <c r="R39" s="157">
        <v>1</v>
      </c>
      <c r="S39" s="157">
        <v>1</v>
      </c>
      <c r="T39" s="157">
        <v>1</v>
      </c>
      <c r="U39" s="157">
        <v>1</v>
      </c>
      <c r="V39" s="157">
        <v>1</v>
      </c>
      <c r="W39" s="157">
        <v>1</v>
      </c>
      <c r="X39" s="157">
        <v>1</v>
      </c>
      <c r="Y39" s="157">
        <v>1</v>
      </c>
      <c r="Z39" s="157">
        <v>1</v>
      </c>
      <c r="AA39" s="157">
        <v>1</v>
      </c>
      <c r="AB39" s="157">
        <v>1</v>
      </c>
      <c r="AC39" s="157">
        <v>1</v>
      </c>
      <c r="AD39" s="157">
        <v>1</v>
      </c>
      <c r="AE39" s="157">
        <v>1</v>
      </c>
      <c r="AF39" s="157">
        <v>1</v>
      </c>
      <c r="AG39" s="157">
        <v>1</v>
      </c>
      <c r="AH39" s="157">
        <v>1</v>
      </c>
      <c r="AI39" s="157">
        <v>1</v>
      </c>
      <c r="AJ39" s="157">
        <v>1</v>
      </c>
      <c r="AK39" s="157">
        <v>1</v>
      </c>
      <c r="AL39" s="157">
        <v>1</v>
      </c>
      <c r="AM39" s="157">
        <v>1</v>
      </c>
      <c r="AN39" s="157">
        <v>1</v>
      </c>
      <c r="AO39" s="157">
        <v>1</v>
      </c>
      <c r="AP39" s="157">
        <v>1</v>
      </c>
      <c r="AQ39" s="157">
        <v>1</v>
      </c>
      <c r="AR39" s="157">
        <v>1</v>
      </c>
      <c r="AS39" s="157">
        <v>1</v>
      </c>
      <c r="AT39" s="157">
        <v>0</v>
      </c>
      <c r="AU39" s="157">
        <v>0</v>
      </c>
      <c r="AV39" s="157">
        <v>0</v>
      </c>
      <c r="AW39" s="157">
        <v>0</v>
      </c>
      <c r="AX39" s="157">
        <v>0</v>
      </c>
      <c r="AY39" s="157">
        <v>0</v>
      </c>
      <c r="AZ39" s="157">
        <v>0</v>
      </c>
    </row>
    <row r="40" spans="1:52" s="5" customFormat="1" ht="12" customHeight="1">
      <c r="A40" s="19">
        <v>37</v>
      </c>
      <c r="B40" s="21" t="str">
        <f>Population!B40</f>
        <v>N'ZEREKORE</v>
      </c>
      <c r="C40" s="21" t="str">
        <f>Population!C40</f>
        <v>N'Zérékoré</v>
      </c>
      <c r="D40" s="157">
        <v>0</v>
      </c>
      <c r="E40" s="157">
        <v>0</v>
      </c>
      <c r="F40" s="157">
        <v>0</v>
      </c>
      <c r="G40" s="157">
        <v>0</v>
      </c>
      <c r="H40" s="157">
        <v>0</v>
      </c>
      <c r="I40" s="157">
        <v>0</v>
      </c>
      <c r="J40" s="157">
        <v>0</v>
      </c>
      <c r="K40" s="157">
        <v>1</v>
      </c>
      <c r="L40" s="157">
        <v>0</v>
      </c>
      <c r="M40" s="157">
        <v>0</v>
      </c>
      <c r="N40" s="157">
        <v>0</v>
      </c>
      <c r="O40" s="157">
        <v>0</v>
      </c>
      <c r="P40" s="157">
        <v>0</v>
      </c>
      <c r="Q40" s="157">
        <v>0</v>
      </c>
      <c r="R40" s="157">
        <v>0</v>
      </c>
      <c r="S40" s="157">
        <v>0</v>
      </c>
      <c r="T40" s="157">
        <v>0</v>
      </c>
      <c r="U40" s="157">
        <v>0</v>
      </c>
      <c r="V40" s="157">
        <v>0</v>
      </c>
      <c r="W40" s="157">
        <v>0</v>
      </c>
      <c r="X40" s="157">
        <v>0</v>
      </c>
      <c r="Y40" s="157">
        <v>1</v>
      </c>
      <c r="Z40" s="157">
        <v>1</v>
      </c>
      <c r="AA40" s="157">
        <v>1</v>
      </c>
      <c r="AB40" s="157">
        <v>1</v>
      </c>
      <c r="AC40" s="157">
        <v>1</v>
      </c>
      <c r="AD40" s="157">
        <v>1</v>
      </c>
      <c r="AE40" s="157">
        <v>1</v>
      </c>
      <c r="AF40" s="157">
        <v>1</v>
      </c>
      <c r="AG40" s="157">
        <v>1</v>
      </c>
      <c r="AH40" s="157">
        <v>1</v>
      </c>
      <c r="AI40" s="157">
        <v>1</v>
      </c>
      <c r="AJ40" s="157">
        <v>1</v>
      </c>
      <c r="AK40" s="157">
        <v>1</v>
      </c>
      <c r="AL40" s="157">
        <v>1</v>
      </c>
      <c r="AM40" s="157">
        <v>1</v>
      </c>
      <c r="AN40" s="157">
        <v>1</v>
      </c>
      <c r="AO40" s="157">
        <v>1</v>
      </c>
      <c r="AP40" s="157">
        <v>1</v>
      </c>
      <c r="AQ40" s="157">
        <v>1</v>
      </c>
      <c r="AR40" s="157">
        <v>1</v>
      </c>
      <c r="AS40" s="157">
        <v>1</v>
      </c>
      <c r="AT40" s="157">
        <v>0</v>
      </c>
      <c r="AU40" s="157">
        <v>0</v>
      </c>
      <c r="AV40" s="157">
        <v>0</v>
      </c>
      <c r="AW40" s="157">
        <v>0</v>
      </c>
      <c r="AX40" s="157">
        <v>0</v>
      </c>
      <c r="AY40" s="157">
        <v>0</v>
      </c>
      <c r="AZ40" s="157">
        <v>0</v>
      </c>
    </row>
    <row r="41" spans="1:52" s="5" customFormat="1" ht="12" customHeight="1">
      <c r="A41" s="19">
        <v>38</v>
      </c>
      <c r="B41" s="21" t="str">
        <f>Population!B41</f>
        <v>N'ZEREKORE</v>
      </c>
      <c r="C41" s="21" t="str">
        <f>Population!C41</f>
        <v>Yomou</v>
      </c>
      <c r="D41" s="157">
        <v>0</v>
      </c>
      <c r="E41" s="157">
        <v>0</v>
      </c>
      <c r="F41" s="157">
        <v>0</v>
      </c>
      <c r="G41" s="157">
        <v>0</v>
      </c>
      <c r="H41" s="157">
        <v>0</v>
      </c>
      <c r="I41" s="157">
        <v>0</v>
      </c>
      <c r="J41" s="157">
        <v>0</v>
      </c>
      <c r="K41" s="157">
        <v>1</v>
      </c>
      <c r="L41" s="157">
        <v>0</v>
      </c>
      <c r="M41" s="157">
        <v>0</v>
      </c>
      <c r="N41" s="157">
        <v>0</v>
      </c>
      <c r="O41" s="157">
        <v>0</v>
      </c>
      <c r="P41" s="157">
        <v>0</v>
      </c>
      <c r="Q41" s="157">
        <v>0</v>
      </c>
      <c r="R41" s="157">
        <v>0</v>
      </c>
      <c r="S41" s="157">
        <v>0</v>
      </c>
      <c r="T41" s="157">
        <v>0</v>
      </c>
      <c r="U41" s="157">
        <v>0</v>
      </c>
      <c r="V41" s="157">
        <v>0</v>
      </c>
      <c r="W41" s="157">
        <v>0</v>
      </c>
      <c r="X41" s="157">
        <v>0</v>
      </c>
      <c r="Y41" s="157">
        <v>1</v>
      </c>
      <c r="Z41" s="157">
        <v>1</v>
      </c>
      <c r="AA41" s="157">
        <v>1</v>
      </c>
      <c r="AB41" s="157">
        <v>1</v>
      </c>
      <c r="AC41" s="157">
        <v>1</v>
      </c>
      <c r="AD41" s="157">
        <v>1</v>
      </c>
      <c r="AE41" s="157">
        <v>1</v>
      </c>
      <c r="AF41" s="157">
        <v>1</v>
      </c>
      <c r="AG41" s="157">
        <v>1</v>
      </c>
      <c r="AH41" s="157">
        <v>1</v>
      </c>
      <c r="AI41" s="157">
        <v>1</v>
      </c>
      <c r="AJ41" s="157">
        <v>1</v>
      </c>
      <c r="AK41" s="157">
        <v>1</v>
      </c>
      <c r="AL41" s="157">
        <v>1</v>
      </c>
      <c r="AM41" s="157">
        <v>0</v>
      </c>
      <c r="AN41" s="157">
        <v>0</v>
      </c>
      <c r="AO41" s="157">
        <v>0</v>
      </c>
      <c r="AP41" s="157">
        <v>0</v>
      </c>
      <c r="AQ41" s="157">
        <v>0</v>
      </c>
      <c r="AR41" s="157">
        <v>0</v>
      </c>
      <c r="AS41" s="157">
        <v>0</v>
      </c>
      <c r="AT41" s="157">
        <v>0</v>
      </c>
      <c r="AU41" s="157">
        <v>0</v>
      </c>
      <c r="AV41" s="157">
        <v>0</v>
      </c>
      <c r="AW41" s="157">
        <v>0</v>
      </c>
      <c r="AX41" s="157">
        <v>0</v>
      </c>
      <c r="AY41" s="157">
        <v>0</v>
      </c>
      <c r="AZ41" s="157">
        <v>0</v>
      </c>
    </row>
    <row r="42" spans="1:52" ht="12" customHeight="1"/>
    <row r="43" spans="1:52" ht="15.75" hidden="1" customHeight="1">
      <c r="A43" s="158" t="s">
        <v>68</v>
      </c>
      <c r="B43" s="158"/>
      <c r="C43" s="159"/>
      <c r="D43" s="159"/>
      <c r="E43" s="159"/>
      <c r="F43" s="159"/>
      <c r="G43" s="159"/>
      <c r="H43" s="159"/>
      <c r="I43" s="159"/>
      <c r="J43" s="159"/>
      <c r="K43" s="159"/>
      <c r="L43" s="161"/>
      <c r="M43" s="161"/>
      <c r="N43" s="161"/>
      <c r="O43" s="161"/>
      <c r="P43" s="161"/>
      <c r="Q43" s="161"/>
    </row>
    <row r="44" spans="1:52" s="155" customFormat="1" ht="8.25" hidden="1" customHeight="1">
      <c r="A44" s="160"/>
      <c r="B44" s="160"/>
      <c r="C44" s="160"/>
      <c r="D44" s="161"/>
      <c r="E44" s="161"/>
      <c r="F44" s="161"/>
      <c r="G44" s="161"/>
      <c r="H44" s="161"/>
      <c r="I44" s="159"/>
      <c r="J44" s="161"/>
      <c r="K44" s="161"/>
      <c r="L44" s="161"/>
      <c r="M44" s="161"/>
      <c r="N44" s="161"/>
      <c r="O44" s="161"/>
      <c r="P44" s="161"/>
      <c r="Q44" s="161"/>
    </row>
    <row r="45" spans="1:52" ht="15" hidden="1" customHeight="1">
      <c r="A45" s="320" t="s">
        <v>69</v>
      </c>
      <c r="B45" s="321"/>
      <c r="C45" s="322"/>
      <c r="D45" s="323">
        <f>T3</f>
        <v>2018</v>
      </c>
      <c r="E45" s="324"/>
      <c r="F45" s="325"/>
      <c r="G45" s="314">
        <f>D45+1</f>
        <v>2019</v>
      </c>
      <c r="H45" s="325"/>
      <c r="I45" s="314">
        <f>G45+1</f>
        <v>2020</v>
      </c>
      <c r="J45" s="324"/>
      <c r="K45" s="314"/>
      <c r="L45" s="324"/>
      <c r="M45" s="325"/>
      <c r="N45" s="314"/>
      <c r="O45" s="315"/>
    </row>
    <row r="46" spans="1:52" ht="12.75" hidden="1" customHeight="1">
      <c r="A46" s="162" t="s">
        <v>70</v>
      </c>
      <c r="B46" s="163"/>
      <c r="C46" s="163"/>
      <c r="D46" s="316" t="e">
        <f>#REF!/3</f>
        <v>#REF!</v>
      </c>
      <c r="E46" s="317"/>
      <c r="F46" s="318"/>
      <c r="G46" s="318" t="e">
        <f>#REF!/3</f>
        <v>#REF!</v>
      </c>
      <c r="H46" s="318"/>
      <c r="I46" s="318" t="e">
        <f>#REF!/3</f>
        <v>#REF!</v>
      </c>
      <c r="J46" s="318"/>
      <c r="K46" s="318"/>
      <c r="L46" s="318"/>
      <c r="M46" s="318"/>
      <c r="N46" s="318"/>
      <c r="O46" s="319"/>
      <c r="Q46" s="312"/>
      <c r="R46" s="313"/>
    </row>
    <row r="47" spans="1:52" ht="12.75" hidden="1" customHeight="1">
      <c r="A47" s="162" t="s">
        <v>71</v>
      </c>
      <c r="B47" s="163"/>
      <c r="C47" s="163"/>
      <c r="D47" s="308" t="e">
        <f>#REF!/3</f>
        <v>#REF!</v>
      </c>
      <c r="E47" s="309"/>
      <c r="F47" s="310"/>
      <c r="G47" s="310" t="e">
        <f>#REF!/3</f>
        <v>#REF!</v>
      </c>
      <c r="H47" s="310"/>
      <c r="I47" s="310" t="e">
        <f>#REF!/3</f>
        <v>#REF!</v>
      </c>
      <c r="J47" s="310"/>
      <c r="K47" s="310"/>
      <c r="L47" s="310"/>
      <c r="M47" s="310"/>
      <c r="N47" s="310"/>
      <c r="O47" s="311"/>
    </row>
    <row r="48" spans="1:52" ht="12.75" hidden="1" customHeight="1">
      <c r="A48" s="162" t="s">
        <v>72</v>
      </c>
      <c r="B48" s="163"/>
      <c r="C48" s="163"/>
      <c r="D48" s="308" t="e">
        <f>#REF!/2.5</f>
        <v>#REF!</v>
      </c>
      <c r="E48" s="309"/>
      <c r="F48" s="310"/>
      <c r="G48" s="310" t="e">
        <f>#REF!/2.5</f>
        <v>#REF!</v>
      </c>
      <c r="H48" s="310"/>
      <c r="I48" s="310" t="e">
        <f>#REF!/2.5</f>
        <v>#REF!</v>
      </c>
      <c r="J48" s="310"/>
      <c r="K48" s="310"/>
      <c r="L48" s="310"/>
      <c r="M48" s="310"/>
      <c r="N48" s="310"/>
      <c r="O48" s="311"/>
    </row>
    <row r="49" spans="1:15" ht="12.75" hidden="1" customHeight="1">
      <c r="A49" s="164" t="s">
        <v>64</v>
      </c>
      <c r="B49" s="165"/>
      <c r="C49" s="165"/>
      <c r="D49" s="308" t="e">
        <f>#REF!/1.1</f>
        <v>#REF!</v>
      </c>
      <c r="E49" s="309"/>
      <c r="F49" s="310"/>
      <c r="G49" s="310" t="e">
        <f>#REF!/1.1</f>
        <v>#REF!</v>
      </c>
      <c r="H49" s="310"/>
      <c r="I49" s="310" t="e">
        <f>#REF!/1.1</f>
        <v>#REF!</v>
      </c>
      <c r="J49" s="310"/>
      <c r="K49" s="310"/>
      <c r="L49" s="310"/>
      <c r="M49" s="310"/>
      <c r="N49" s="310"/>
      <c r="O49" s="311"/>
    </row>
    <row r="50" spans="1:15" ht="13.5" hidden="1" customHeight="1">
      <c r="A50" s="164" t="s">
        <v>73</v>
      </c>
      <c r="B50" s="165"/>
      <c r="C50" s="166"/>
      <c r="D50" s="304" t="e">
        <f>#REF!/3/'Page d''accueil'!$J$16*100</f>
        <v>#REF!</v>
      </c>
      <c r="E50" s="305"/>
      <c r="F50" s="306"/>
      <c r="G50" s="306" t="e">
        <f>#REF!/3/'Page d''accueil'!$J$16*100</f>
        <v>#REF!</v>
      </c>
      <c r="H50" s="306"/>
      <c r="I50" s="306" t="e">
        <f>#REF!/3/'Page d''accueil'!$J$16*100</f>
        <v>#REF!</v>
      </c>
      <c r="J50" s="306"/>
      <c r="K50" s="306"/>
      <c r="L50" s="306"/>
      <c r="M50" s="306"/>
      <c r="N50" s="306"/>
      <c r="O50" s="307"/>
    </row>
    <row r="51" spans="1:15" ht="13.5" hidden="1" customHeight="1">
      <c r="A51" s="299" t="s">
        <v>54</v>
      </c>
      <c r="B51" s="300"/>
      <c r="C51" s="301"/>
      <c r="D51" s="302" t="e">
        <f>SUM(D46:F50)</f>
        <v>#REF!</v>
      </c>
      <c r="E51" s="303"/>
      <c r="F51" s="293"/>
      <c r="G51" s="293" t="e">
        <f>SUM(G46:H50)</f>
        <v>#REF!</v>
      </c>
      <c r="H51" s="293"/>
      <c r="I51" s="293" t="e">
        <f>SUM(I46:J50)</f>
        <v>#REF!</v>
      </c>
      <c r="J51" s="293"/>
      <c r="K51" s="293"/>
      <c r="L51" s="293"/>
      <c r="M51" s="293"/>
      <c r="N51" s="293"/>
      <c r="O51" s="294"/>
    </row>
    <row r="57" spans="1:15">
      <c r="K57" s="16"/>
    </row>
    <row r="58" spans="1:15">
      <c r="K58" s="16"/>
    </row>
    <row r="59" spans="1:15">
      <c r="K59" s="16"/>
    </row>
    <row r="60" spans="1:15">
      <c r="K60" s="16"/>
    </row>
  </sheetData>
  <mergeCells count="62">
    <mergeCell ref="K1:Q1"/>
    <mergeCell ref="K2:K3"/>
    <mergeCell ref="L2:Q2"/>
    <mergeCell ref="D1:J1"/>
    <mergeCell ref="D2:D3"/>
    <mergeCell ref="E2:J2"/>
    <mergeCell ref="R1:X1"/>
    <mergeCell ref="Y1:AE1"/>
    <mergeCell ref="AF1:AL1"/>
    <mergeCell ref="AM1:AS1"/>
    <mergeCell ref="AT1:AZ1"/>
    <mergeCell ref="S2:X2"/>
    <mergeCell ref="Z2:AE2"/>
    <mergeCell ref="AG2:AL2"/>
    <mergeCell ref="AN2:AS2"/>
    <mergeCell ref="AU2:AZ2"/>
    <mergeCell ref="AF2:AF3"/>
    <mergeCell ref="AM2:AM3"/>
    <mergeCell ref="AT2:AT3"/>
    <mergeCell ref="Y2:Y3"/>
    <mergeCell ref="A45:C45"/>
    <mergeCell ref="D45:F45"/>
    <mergeCell ref="G45:H45"/>
    <mergeCell ref="I45:J45"/>
    <mergeCell ref="K45:M45"/>
    <mergeCell ref="N45:O45"/>
    <mergeCell ref="D46:F46"/>
    <mergeCell ref="G46:H46"/>
    <mergeCell ref="I46:J46"/>
    <mergeCell ref="K46:M46"/>
    <mergeCell ref="N46:O46"/>
    <mergeCell ref="Q46:R46"/>
    <mergeCell ref="D47:F47"/>
    <mergeCell ref="G47:H47"/>
    <mergeCell ref="I47:J47"/>
    <mergeCell ref="K47:M47"/>
    <mergeCell ref="N47:O47"/>
    <mergeCell ref="G49:H49"/>
    <mergeCell ref="I49:J49"/>
    <mergeCell ref="K49:M49"/>
    <mergeCell ref="N49:O49"/>
    <mergeCell ref="D48:F48"/>
    <mergeCell ref="G48:H48"/>
    <mergeCell ref="I48:J48"/>
    <mergeCell ref="K48:M48"/>
    <mergeCell ref="N48:O48"/>
    <mergeCell ref="N51:O51"/>
    <mergeCell ref="A1:A3"/>
    <mergeCell ref="B1:B3"/>
    <mergeCell ref="C1:C3"/>
    <mergeCell ref="R2:R3"/>
    <mergeCell ref="A51:C51"/>
    <mergeCell ref="D51:F51"/>
    <mergeCell ref="G51:H51"/>
    <mergeCell ref="I51:J51"/>
    <mergeCell ref="K51:M51"/>
    <mergeCell ref="D50:F50"/>
    <mergeCell ref="G50:H50"/>
    <mergeCell ref="I50:J50"/>
    <mergeCell ref="K50:M50"/>
    <mergeCell ref="N50:O50"/>
    <mergeCell ref="D49:F49"/>
  </mergeCells>
  <dataValidations count="1">
    <dataValidation allowBlank="1" showInputMessage="1" showErrorMessage="1" sqref="D50:O51"/>
  </dataValidations>
  <pageMargins left="0.74791666666666701" right="0.74791666666666701" top="0.47222222222222199" bottom="0.98402777777777795" header="0.156944444444444" footer="0.51180555555555596"/>
  <pageSetup paperSize="8" scale="48" orientation="landscape" r:id="rId1"/>
  <headerFooter alignWithMargins="0"/>
  <rowBreaks count="1" manualBreakCount="1">
    <brk id="41" max="4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31"/>
  </sheetPr>
  <dimension ref="A1"/>
  <sheetViews>
    <sheetView view="pageBreakPreview" zoomScale="160" zoomScaleNormal="100" zoomScaleSheetLayoutView="160" workbookViewId="0">
      <selection activeCell="A27" sqref="A27"/>
    </sheetView>
  </sheetViews>
  <sheetFormatPr baseColWidth="10" defaultColWidth="9.140625" defaultRowHeight="12.75"/>
  <cols>
    <col min="1" max="1" width="9.140625" customWidth="1"/>
  </cols>
  <sheetData/>
  <pageMargins left="0.70833333333333304" right="0.70833333333333304" top="0.74791666666666701" bottom="0.74791666666666701" header="0.31458333333333299" footer="0.31458333333333299"/>
  <pageSetup orientation="portrait" horizontalDpi="1200" verticalDpi="1200" r:id="rId1"/>
  <drawing r:id="rId2"/>
  <legacyDrawing r:id="rId3"/>
  <controls>
    <mc:AlternateContent xmlns:mc="http://schemas.openxmlformats.org/markup-compatibility/2006">
      <mc:Choice Requires="x14">
        <control shapeId="40961" r:id="rId4" name="InsertActivity">
          <controlPr defaultSize="0" altText="" r:id="rId5">
            <anchor moveWithCells="1">
              <from>
                <xdr:col>4</xdr:col>
                <xdr:colOff>19050</xdr:colOff>
                <xdr:row>20</xdr:row>
                <xdr:rowOff>133350</xdr:rowOff>
              </from>
              <to>
                <xdr:col>6</xdr:col>
                <xdr:colOff>66675</xdr:colOff>
                <xdr:row>22</xdr:row>
                <xdr:rowOff>152400</xdr:rowOff>
              </to>
            </anchor>
          </controlPr>
        </control>
      </mc:Choice>
      <mc:Fallback>
        <control shapeId="40961" r:id="rId4" name="InsertActivity"/>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17"/>
  <sheetViews>
    <sheetView tabSelected="1" zoomScale="110" zoomScaleNormal="110" workbookViewId="0">
      <selection sqref="A1:A2"/>
    </sheetView>
  </sheetViews>
  <sheetFormatPr baseColWidth="10" defaultRowHeight="12.75"/>
  <cols>
    <col min="4" max="4" width="17.140625" customWidth="1"/>
    <col min="5" max="5" width="28.85546875" customWidth="1"/>
    <col min="6" max="6" width="21" customWidth="1"/>
    <col min="7" max="7" width="18.5703125" customWidth="1"/>
    <col min="8" max="8" width="21.140625" customWidth="1"/>
    <col min="9" max="9" width="14.7109375" bestFit="1" customWidth="1"/>
    <col min="13" max="13" width="10.28515625" customWidth="1"/>
    <col min="14" max="14" width="12.140625" customWidth="1"/>
    <col min="15" max="15" width="16.42578125" bestFit="1" customWidth="1"/>
    <col min="20" max="20" width="13.140625" customWidth="1"/>
    <col min="21" max="21" width="14.7109375" bestFit="1" customWidth="1"/>
    <col min="26" max="26" width="12.42578125" bestFit="1" customWidth="1"/>
    <col min="27" max="27" width="14.7109375" bestFit="1" customWidth="1"/>
    <col min="32" max="32" width="12.140625" bestFit="1" customWidth="1"/>
    <col min="33" max="33" width="14.7109375" bestFit="1" customWidth="1"/>
    <col min="38" max="38" width="12.140625" bestFit="1" customWidth="1"/>
  </cols>
  <sheetData>
    <row r="1" spans="1:38" ht="24" customHeight="1">
      <c r="A1" s="330" t="s">
        <v>604</v>
      </c>
      <c r="B1" s="330" t="s">
        <v>605</v>
      </c>
      <c r="C1" s="328" t="s">
        <v>75</v>
      </c>
      <c r="D1" s="328" t="s">
        <v>76</v>
      </c>
      <c r="E1" s="332" t="s">
        <v>77</v>
      </c>
      <c r="F1" s="139" t="s">
        <v>78</v>
      </c>
      <c r="G1" s="328" t="s">
        <v>79</v>
      </c>
      <c r="H1" s="328" t="s">
        <v>80</v>
      </c>
      <c r="I1" s="102">
        <v>2019</v>
      </c>
      <c r="J1" s="102"/>
      <c r="K1" s="102"/>
      <c r="L1" s="102"/>
      <c r="M1" s="102"/>
      <c r="N1" s="102"/>
      <c r="O1" s="102">
        <f>I1+1</f>
        <v>2020</v>
      </c>
      <c r="P1" s="102"/>
      <c r="Q1" s="102"/>
      <c r="R1" s="102"/>
      <c r="S1" s="102"/>
      <c r="T1" s="102"/>
      <c r="U1" s="102">
        <f>O1+1</f>
        <v>2021</v>
      </c>
      <c r="V1" s="102"/>
      <c r="W1" s="102"/>
      <c r="X1" s="102"/>
      <c r="Y1" s="102"/>
      <c r="Z1" s="102"/>
      <c r="AA1" s="102">
        <f>U1+1</f>
        <v>2022</v>
      </c>
      <c r="AB1" s="102"/>
      <c r="AC1" s="102"/>
      <c r="AD1" s="102"/>
      <c r="AE1" s="102"/>
      <c r="AF1" s="102"/>
      <c r="AG1" s="102">
        <f>AA1+1</f>
        <v>2023</v>
      </c>
      <c r="AH1" s="102"/>
      <c r="AI1" s="102"/>
      <c r="AJ1" s="102"/>
      <c r="AK1" s="102"/>
      <c r="AL1" s="102"/>
    </row>
    <row r="2" spans="1:38" ht="13.5" customHeight="1">
      <c r="A2" s="331"/>
      <c r="B2" s="331"/>
      <c r="C2" s="329"/>
      <c r="D2" s="329"/>
      <c r="E2" s="333"/>
      <c r="F2" s="140"/>
      <c r="G2" s="329"/>
      <c r="H2" s="329"/>
      <c r="I2" s="103" t="s">
        <v>81</v>
      </c>
      <c r="J2" s="103" t="s">
        <v>82</v>
      </c>
      <c r="K2" s="103" t="s">
        <v>83</v>
      </c>
      <c r="L2" s="103" t="s">
        <v>84</v>
      </c>
      <c r="M2" s="103" t="s">
        <v>85</v>
      </c>
      <c r="N2" s="103" t="s">
        <v>54</v>
      </c>
      <c r="O2" s="103" t="s">
        <v>81</v>
      </c>
      <c r="P2" s="103" t="s">
        <v>82</v>
      </c>
      <c r="Q2" s="103" t="s">
        <v>83</v>
      </c>
      <c r="R2" s="103" t="s">
        <v>84</v>
      </c>
      <c r="S2" s="103" t="s">
        <v>85</v>
      </c>
      <c r="T2" s="103" t="s">
        <v>54</v>
      </c>
      <c r="U2" s="103" t="s">
        <v>81</v>
      </c>
      <c r="V2" s="103" t="s">
        <v>82</v>
      </c>
      <c r="W2" s="103" t="s">
        <v>83</v>
      </c>
      <c r="X2" s="103" t="s">
        <v>84</v>
      </c>
      <c r="Y2" s="103" t="s">
        <v>85</v>
      </c>
      <c r="Z2" s="103" t="s">
        <v>54</v>
      </c>
      <c r="AA2" s="103" t="s">
        <v>81</v>
      </c>
      <c r="AB2" s="103" t="s">
        <v>82</v>
      </c>
      <c r="AC2" s="103" t="s">
        <v>83</v>
      </c>
      <c r="AD2" s="103" t="s">
        <v>84</v>
      </c>
      <c r="AE2" s="103" t="s">
        <v>85</v>
      </c>
      <c r="AF2" s="103" t="s">
        <v>54</v>
      </c>
      <c r="AG2" s="103" t="s">
        <v>81</v>
      </c>
      <c r="AH2" s="103" t="s">
        <v>82</v>
      </c>
      <c r="AI2" s="103" t="s">
        <v>83</v>
      </c>
      <c r="AJ2" s="103" t="s">
        <v>84</v>
      </c>
      <c r="AK2" s="103" t="s">
        <v>85</v>
      </c>
      <c r="AL2" s="103" t="s">
        <v>54</v>
      </c>
    </row>
    <row r="3" spans="1:38" ht="62.25" customHeight="1">
      <c r="A3" s="212" t="s">
        <v>125</v>
      </c>
      <c r="B3" s="212" t="s">
        <v>87</v>
      </c>
      <c r="C3" s="212"/>
      <c r="D3" s="213" t="s">
        <v>315</v>
      </c>
      <c r="E3" s="214" t="s">
        <v>316</v>
      </c>
      <c r="F3" s="215" t="s">
        <v>481</v>
      </c>
      <c r="G3" s="216" t="s">
        <v>317</v>
      </c>
      <c r="H3" s="217" t="s">
        <v>318</v>
      </c>
      <c r="I3" s="218">
        <v>420000</v>
      </c>
      <c r="J3" s="218">
        <v>3</v>
      </c>
      <c r="K3" s="218">
        <v>3</v>
      </c>
      <c r="L3" s="218">
        <v>1</v>
      </c>
      <c r="M3" s="218">
        <v>1</v>
      </c>
      <c r="N3" s="107">
        <f t="shared" ref="N3:N48" si="0">PRODUCT(I3:M3)</f>
        <v>3780000</v>
      </c>
      <c r="O3" s="218">
        <v>420000</v>
      </c>
      <c r="P3" s="218">
        <v>3</v>
      </c>
      <c r="Q3" s="218">
        <v>3</v>
      </c>
      <c r="R3" s="218">
        <v>1</v>
      </c>
      <c r="S3" s="218">
        <v>1</v>
      </c>
      <c r="T3" s="107">
        <f t="shared" ref="T3:T79" si="1">PRODUCT(O3:S3)</f>
        <v>3780000</v>
      </c>
      <c r="U3" s="218">
        <v>420000</v>
      </c>
      <c r="V3" s="218">
        <v>3</v>
      </c>
      <c r="W3" s="218">
        <v>3</v>
      </c>
      <c r="X3" s="218">
        <v>1</v>
      </c>
      <c r="Y3" s="218">
        <v>1</v>
      </c>
      <c r="Z3" s="107">
        <f t="shared" ref="Z3:Z79" si="2">PRODUCT(U3:Y3)</f>
        <v>3780000</v>
      </c>
      <c r="AA3" s="218">
        <v>420000</v>
      </c>
      <c r="AB3" s="218">
        <v>3</v>
      </c>
      <c r="AC3" s="218">
        <v>3</v>
      </c>
      <c r="AD3" s="218">
        <v>1</v>
      </c>
      <c r="AE3" s="218">
        <v>1</v>
      </c>
      <c r="AF3" s="107">
        <f t="shared" ref="AF3:AF79" si="3">PRODUCT(AA3:AE3)</f>
        <v>3780000</v>
      </c>
      <c r="AG3" s="218">
        <v>420000</v>
      </c>
      <c r="AH3" s="218">
        <v>3</v>
      </c>
      <c r="AI3" s="218">
        <v>3</v>
      </c>
      <c r="AJ3" s="218">
        <v>1</v>
      </c>
      <c r="AK3" s="218">
        <v>1</v>
      </c>
      <c r="AL3" s="107">
        <f t="shared" ref="AL3:AL79" si="4">PRODUCT(AG3:AK3)</f>
        <v>3780000</v>
      </c>
    </row>
    <row r="4" spans="1:38" ht="47.25" customHeight="1">
      <c r="A4" s="212" t="s">
        <v>125</v>
      </c>
      <c r="B4" s="212" t="s">
        <v>87</v>
      </c>
      <c r="C4" s="212"/>
      <c r="D4" s="213" t="s">
        <v>315</v>
      </c>
      <c r="E4" s="214" t="s">
        <v>319</v>
      </c>
      <c r="F4" s="215" t="s">
        <v>481</v>
      </c>
      <c r="G4" s="216" t="s">
        <v>317</v>
      </c>
      <c r="H4" s="219" t="s">
        <v>320</v>
      </c>
      <c r="I4" s="218">
        <v>7000000</v>
      </c>
      <c r="J4" s="218">
        <v>4</v>
      </c>
      <c r="K4" s="218">
        <v>1</v>
      </c>
      <c r="L4" s="218">
        <v>1</v>
      </c>
      <c r="M4" s="218">
        <v>1</v>
      </c>
      <c r="N4" s="107">
        <f t="shared" si="0"/>
        <v>28000000</v>
      </c>
      <c r="O4" s="218">
        <v>7000000</v>
      </c>
      <c r="P4" s="218">
        <v>4</v>
      </c>
      <c r="Q4" s="218">
        <v>1</v>
      </c>
      <c r="R4" s="218">
        <v>1</v>
      </c>
      <c r="S4" s="218">
        <v>1</v>
      </c>
      <c r="T4" s="107">
        <f t="shared" si="1"/>
        <v>28000000</v>
      </c>
      <c r="U4" s="218">
        <v>7000000</v>
      </c>
      <c r="V4" s="218">
        <v>4</v>
      </c>
      <c r="W4" s="218">
        <v>1</v>
      </c>
      <c r="X4" s="218">
        <v>1</v>
      </c>
      <c r="Y4" s="218">
        <v>1</v>
      </c>
      <c r="Z4" s="107">
        <f t="shared" si="2"/>
        <v>28000000</v>
      </c>
      <c r="AA4" s="218">
        <v>7000000</v>
      </c>
      <c r="AB4" s="218">
        <v>4</v>
      </c>
      <c r="AC4" s="218">
        <v>1</v>
      </c>
      <c r="AD4" s="218">
        <v>1</v>
      </c>
      <c r="AE4" s="218">
        <v>1</v>
      </c>
      <c r="AF4" s="107">
        <f t="shared" si="3"/>
        <v>28000000</v>
      </c>
      <c r="AG4" s="218">
        <v>7000000</v>
      </c>
      <c r="AH4" s="218">
        <v>4</v>
      </c>
      <c r="AI4" s="218">
        <v>1</v>
      </c>
      <c r="AJ4" s="218">
        <v>1</v>
      </c>
      <c r="AK4" s="218">
        <v>1</v>
      </c>
      <c r="AL4" s="107">
        <f t="shared" si="4"/>
        <v>28000000</v>
      </c>
    </row>
    <row r="5" spans="1:38" ht="56.25" customHeight="1">
      <c r="A5" s="212" t="s">
        <v>125</v>
      </c>
      <c r="B5" s="212" t="s">
        <v>87</v>
      </c>
      <c r="C5" s="212"/>
      <c r="D5" s="213" t="s">
        <v>315</v>
      </c>
      <c r="E5" s="214" t="s">
        <v>321</v>
      </c>
      <c r="F5" s="215" t="s">
        <v>481</v>
      </c>
      <c r="G5" s="217" t="s">
        <v>322</v>
      </c>
      <c r="H5" s="219" t="s">
        <v>578</v>
      </c>
      <c r="I5" s="218">
        <v>273642000</v>
      </c>
      <c r="J5" s="218">
        <v>1</v>
      </c>
      <c r="K5" s="218">
        <v>1</v>
      </c>
      <c r="L5" s="218">
        <v>1</v>
      </c>
      <c r="M5" s="218">
        <v>1</v>
      </c>
      <c r="N5" s="107">
        <f t="shared" si="0"/>
        <v>273642000</v>
      </c>
      <c r="O5" s="218">
        <v>273642000</v>
      </c>
      <c r="P5" s="218">
        <v>1</v>
      </c>
      <c r="Q5" s="218">
        <v>1</v>
      </c>
      <c r="R5" s="218">
        <v>1</v>
      </c>
      <c r="S5" s="218">
        <v>1</v>
      </c>
      <c r="T5" s="107">
        <f t="shared" si="1"/>
        <v>273642000</v>
      </c>
      <c r="U5" s="218">
        <v>273642000</v>
      </c>
      <c r="V5" s="218">
        <v>1</v>
      </c>
      <c r="W5" s="218">
        <v>1</v>
      </c>
      <c r="X5" s="218">
        <v>1</v>
      </c>
      <c r="Y5" s="218">
        <v>1</v>
      </c>
      <c r="Z5" s="107">
        <f t="shared" si="2"/>
        <v>273642000</v>
      </c>
      <c r="AA5" s="218">
        <v>273642000</v>
      </c>
      <c r="AB5" s="218">
        <v>1</v>
      </c>
      <c r="AC5" s="218">
        <v>1</v>
      </c>
      <c r="AD5" s="218">
        <v>1</v>
      </c>
      <c r="AE5" s="218">
        <v>1</v>
      </c>
      <c r="AF5" s="107">
        <f t="shared" si="3"/>
        <v>273642000</v>
      </c>
      <c r="AG5" s="218">
        <v>273642000</v>
      </c>
      <c r="AH5" s="218">
        <v>1</v>
      </c>
      <c r="AI5" s="218">
        <v>1</v>
      </c>
      <c r="AJ5" s="218">
        <v>1</v>
      </c>
      <c r="AK5" s="218">
        <v>1</v>
      </c>
      <c r="AL5" s="107">
        <f t="shared" si="4"/>
        <v>273642000</v>
      </c>
    </row>
    <row r="6" spans="1:38" ht="56.25" customHeight="1">
      <c r="A6" s="212" t="s">
        <v>125</v>
      </c>
      <c r="B6" s="212" t="s">
        <v>87</v>
      </c>
      <c r="C6" s="261"/>
      <c r="D6" s="220" t="s">
        <v>323</v>
      </c>
      <c r="E6" s="271" t="s">
        <v>642</v>
      </c>
      <c r="F6" s="215" t="s">
        <v>481</v>
      </c>
      <c r="G6" s="217" t="s">
        <v>322</v>
      </c>
      <c r="H6" s="219" t="s">
        <v>518</v>
      </c>
      <c r="I6" s="265">
        <v>178950000</v>
      </c>
      <c r="J6" s="262">
        <v>1</v>
      </c>
      <c r="K6" s="262">
        <v>1</v>
      </c>
      <c r="L6" s="262">
        <v>1</v>
      </c>
      <c r="M6" s="262"/>
      <c r="N6" s="107">
        <f t="shared" si="0"/>
        <v>178950000</v>
      </c>
      <c r="O6" s="265">
        <v>178950000</v>
      </c>
      <c r="P6" s="262">
        <v>1</v>
      </c>
      <c r="Q6" s="262">
        <v>1</v>
      </c>
      <c r="R6" s="262">
        <v>1</v>
      </c>
      <c r="S6" s="262">
        <v>1</v>
      </c>
      <c r="T6" s="107">
        <f t="shared" si="1"/>
        <v>178950000</v>
      </c>
      <c r="U6" s="265">
        <v>178950000</v>
      </c>
      <c r="V6" s="262">
        <v>1</v>
      </c>
      <c r="W6" s="262">
        <v>1</v>
      </c>
      <c r="X6" s="262">
        <v>1</v>
      </c>
      <c r="Y6" s="262">
        <v>1</v>
      </c>
      <c r="Z6" s="107">
        <f t="shared" si="2"/>
        <v>178950000</v>
      </c>
      <c r="AA6" s="265">
        <v>178950000</v>
      </c>
      <c r="AB6" s="262">
        <v>1</v>
      </c>
      <c r="AC6" s="262">
        <v>1</v>
      </c>
      <c r="AD6" s="262">
        <v>1</v>
      </c>
      <c r="AE6" s="262">
        <v>1</v>
      </c>
      <c r="AF6" s="107">
        <f t="shared" si="3"/>
        <v>178950000</v>
      </c>
      <c r="AG6" s="265">
        <v>178950000</v>
      </c>
      <c r="AH6" s="262">
        <v>1</v>
      </c>
      <c r="AI6" s="262">
        <v>1</v>
      </c>
      <c r="AJ6" s="262">
        <v>1</v>
      </c>
      <c r="AK6" s="262">
        <v>1</v>
      </c>
      <c r="AL6" s="107">
        <f t="shared" si="4"/>
        <v>178950000</v>
      </c>
    </row>
    <row r="7" spans="1:38" ht="56.25" customHeight="1">
      <c r="A7" s="212" t="s">
        <v>125</v>
      </c>
      <c r="B7" s="212" t="s">
        <v>87</v>
      </c>
      <c r="C7" s="261"/>
      <c r="D7" s="220" t="s">
        <v>323</v>
      </c>
      <c r="E7" s="271" t="s">
        <v>643</v>
      </c>
      <c r="F7" s="215" t="s">
        <v>481</v>
      </c>
      <c r="G7" s="217" t="s">
        <v>322</v>
      </c>
      <c r="H7" s="219" t="s">
        <v>518</v>
      </c>
      <c r="I7" s="265">
        <v>101130000</v>
      </c>
      <c r="J7" s="262"/>
      <c r="K7" s="262"/>
      <c r="L7" s="262"/>
      <c r="M7" s="262"/>
      <c r="N7" s="107">
        <f t="shared" si="0"/>
        <v>101130000</v>
      </c>
      <c r="O7" s="265">
        <v>101130000</v>
      </c>
      <c r="P7" s="262"/>
      <c r="Q7" s="262"/>
      <c r="R7" s="262"/>
      <c r="S7" s="262"/>
      <c r="T7" s="107">
        <f t="shared" si="1"/>
        <v>101130000</v>
      </c>
      <c r="U7" s="265">
        <v>101130000</v>
      </c>
      <c r="V7" s="262"/>
      <c r="W7" s="262"/>
      <c r="X7" s="262"/>
      <c r="Y7" s="262"/>
      <c r="Z7" s="107">
        <f t="shared" si="2"/>
        <v>101130000</v>
      </c>
      <c r="AA7" s="265">
        <v>101130000</v>
      </c>
      <c r="AB7" s="262"/>
      <c r="AC7" s="262"/>
      <c r="AD7" s="262"/>
      <c r="AE7" s="262"/>
      <c r="AF7" s="107">
        <f t="shared" si="3"/>
        <v>101130000</v>
      </c>
      <c r="AG7" s="265">
        <v>101130000</v>
      </c>
      <c r="AH7" s="262"/>
      <c r="AI7" s="262"/>
      <c r="AJ7" s="262"/>
      <c r="AK7" s="262"/>
      <c r="AL7" s="107">
        <f t="shared" si="4"/>
        <v>101130000</v>
      </c>
    </row>
    <row r="8" spans="1:38" ht="56.25" customHeight="1">
      <c r="A8" s="212" t="s">
        <v>125</v>
      </c>
      <c r="B8" s="212" t="s">
        <v>87</v>
      </c>
      <c r="C8" s="261"/>
      <c r="D8" s="220" t="s">
        <v>323</v>
      </c>
      <c r="E8" s="271" t="s">
        <v>644</v>
      </c>
      <c r="F8" s="215" t="s">
        <v>481</v>
      </c>
      <c r="G8" s="217" t="s">
        <v>322</v>
      </c>
      <c r="H8" s="219" t="s">
        <v>518</v>
      </c>
      <c r="I8" s="265">
        <v>385855000</v>
      </c>
      <c r="J8" s="262"/>
      <c r="K8" s="262"/>
      <c r="L8" s="262"/>
      <c r="M8" s="262"/>
      <c r="N8" s="107">
        <f t="shared" si="0"/>
        <v>385855000</v>
      </c>
      <c r="O8" s="265">
        <v>385855000</v>
      </c>
      <c r="P8" s="262"/>
      <c r="Q8" s="262"/>
      <c r="R8" s="262"/>
      <c r="S8" s="262"/>
      <c r="T8" s="107">
        <f t="shared" si="1"/>
        <v>385855000</v>
      </c>
      <c r="U8" s="265">
        <v>385855000</v>
      </c>
      <c r="V8" s="262"/>
      <c r="W8" s="262"/>
      <c r="X8" s="262"/>
      <c r="Y8" s="262"/>
      <c r="Z8" s="107">
        <f t="shared" si="2"/>
        <v>385855000</v>
      </c>
      <c r="AA8" s="265">
        <v>385855000</v>
      </c>
      <c r="AB8" s="262"/>
      <c r="AC8" s="262"/>
      <c r="AD8" s="262"/>
      <c r="AE8" s="262"/>
      <c r="AF8" s="107">
        <f t="shared" si="3"/>
        <v>385855000</v>
      </c>
      <c r="AG8" s="265">
        <v>385855000</v>
      </c>
      <c r="AH8" s="262"/>
      <c r="AI8" s="262"/>
      <c r="AJ8" s="262"/>
      <c r="AK8" s="262"/>
      <c r="AL8" s="107">
        <f t="shared" si="4"/>
        <v>385855000</v>
      </c>
    </row>
    <row r="9" spans="1:38" ht="33.75">
      <c r="A9" s="212" t="s">
        <v>125</v>
      </c>
      <c r="B9" s="212" t="s">
        <v>87</v>
      </c>
      <c r="C9" s="212"/>
      <c r="D9" s="220" t="s">
        <v>323</v>
      </c>
      <c r="E9" s="272" t="s">
        <v>579</v>
      </c>
      <c r="F9" s="215" t="s">
        <v>481</v>
      </c>
      <c r="G9" s="217" t="s">
        <v>322</v>
      </c>
      <c r="H9" s="219" t="s">
        <v>518</v>
      </c>
      <c r="I9" s="218">
        <v>1197526</v>
      </c>
      <c r="J9" s="218">
        <v>47</v>
      </c>
      <c r="K9" s="218">
        <v>4</v>
      </c>
      <c r="L9" s="218">
        <v>1</v>
      </c>
      <c r="M9" s="218">
        <v>1</v>
      </c>
      <c r="N9" s="107">
        <f t="shared" si="0"/>
        <v>225134888</v>
      </c>
      <c r="O9" s="218">
        <v>1197526</v>
      </c>
      <c r="P9" s="218">
        <v>47</v>
      </c>
      <c r="Q9" s="218">
        <v>4</v>
      </c>
      <c r="R9" s="218">
        <v>1</v>
      </c>
      <c r="S9" s="218">
        <v>1</v>
      </c>
      <c r="T9" s="107">
        <f t="shared" si="1"/>
        <v>225134888</v>
      </c>
      <c r="U9" s="218">
        <v>1197526</v>
      </c>
      <c r="V9" s="218">
        <v>47</v>
      </c>
      <c r="W9" s="218">
        <v>4</v>
      </c>
      <c r="X9" s="218">
        <v>1</v>
      </c>
      <c r="Y9" s="218">
        <v>1</v>
      </c>
      <c r="Z9" s="107">
        <f t="shared" si="2"/>
        <v>225134888</v>
      </c>
      <c r="AA9" s="218">
        <v>1197526</v>
      </c>
      <c r="AB9" s="218">
        <v>47</v>
      </c>
      <c r="AC9" s="218">
        <v>4</v>
      </c>
      <c r="AD9" s="218">
        <v>1</v>
      </c>
      <c r="AE9" s="218">
        <v>1</v>
      </c>
      <c r="AF9" s="107">
        <f t="shared" si="3"/>
        <v>225134888</v>
      </c>
      <c r="AG9" s="218">
        <v>1197526</v>
      </c>
      <c r="AH9" s="218">
        <v>47</v>
      </c>
      <c r="AI9" s="218">
        <v>4</v>
      </c>
      <c r="AJ9" s="218">
        <v>1</v>
      </c>
      <c r="AK9" s="218">
        <v>1</v>
      </c>
      <c r="AL9" s="107">
        <f t="shared" si="4"/>
        <v>225134888</v>
      </c>
    </row>
    <row r="10" spans="1:38" ht="33.75">
      <c r="A10" s="212" t="s">
        <v>125</v>
      </c>
      <c r="B10" s="212" t="s">
        <v>87</v>
      </c>
      <c r="C10" s="212"/>
      <c r="D10" s="220" t="s">
        <v>323</v>
      </c>
      <c r="E10" s="272" t="s">
        <v>583</v>
      </c>
      <c r="F10" s="215" t="s">
        <v>481</v>
      </c>
      <c r="G10" s="217" t="s">
        <v>322</v>
      </c>
      <c r="H10" s="219" t="s">
        <v>518</v>
      </c>
      <c r="I10" s="218">
        <v>11164397</v>
      </c>
      <c r="J10" s="218">
        <v>145</v>
      </c>
      <c r="K10" s="218">
        <v>2</v>
      </c>
      <c r="L10" s="218">
        <v>1</v>
      </c>
      <c r="M10" s="218">
        <v>1</v>
      </c>
      <c r="N10" s="107">
        <f t="shared" si="0"/>
        <v>3237675130</v>
      </c>
      <c r="O10" s="218">
        <v>11164397</v>
      </c>
      <c r="P10" s="218">
        <v>145</v>
      </c>
      <c r="Q10" s="218">
        <v>2</v>
      </c>
      <c r="R10" s="218">
        <v>1</v>
      </c>
      <c r="S10" s="218">
        <v>1</v>
      </c>
      <c r="T10" s="107">
        <f t="shared" si="1"/>
        <v>3237675130</v>
      </c>
      <c r="U10" s="218">
        <v>11164397</v>
      </c>
      <c r="V10" s="218">
        <v>145</v>
      </c>
      <c r="W10" s="218">
        <v>2</v>
      </c>
      <c r="X10" s="218">
        <v>1</v>
      </c>
      <c r="Y10" s="218">
        <v>1</v>
      </c>
      <c r="Z10" s="107">
        <f t="shared" si="2"/>
        <v>3237675130</v>
      </c>
      <c r="AA10" s="218">
        <v>11164397</v>
      </c>
      <c r="AB10" s="218">
        <v>145</v>
      </c>
      <c r="AC10" s="218">
        <v>2</v>
      </c>
      <c r="AD10" s="218">
        <v>1</v>
      </c>
      <c r="AE10" s="218">
        <v>1</v>
      </c>
      <c r="AF10" s="107">
        <f t="shared" si="3"/>
        <v>3237675130</v>
      </c>
      <c r="AG10" s="218">
        <v>11164397</v>
      </c>
      <c r="AH10" s="218">
        <v>145</v>
      </c>
      <c r="AI10" s="218">
        <v>2</v>
      </c>
      <c r="AJ10" s="218">
        <v>1</v>
      </c>
      <c r="AK10" s="218">
        <v>1</v>
      </c>
      <c r="AL10" s="107">
        <f t="shared" si="4"/>
        <v>3237675130</v>
      </c>
    </row>
    <row r="11" spans="1:38" ht="33.75">
      <c r="A11" s="212" t="s">
        <v>125</v>
      </c>
      <c r="B11" s="212" t="s">
        <v>87</v>
      </c>
      <c r="C11" s="212"/>
      <c r="D11" s="220" t="s">
        <v>323</v>
      </c>
      <c r="E11" s="214" t="s">
        <v>582</v>
      </c>
      <c r="F11" s="215" t="s">
        <v>481</v>
      </c>
      <c r="G11" s="217" t="s">
        <v>322</v>
      </c>
      <c r="H11" s="219" t="s">
        <v>518</v>
      </c>
      <c r="I11" s="218">
        <v>213611</v>
      </c>
      <c r="J11" s="218">
        <v>900</v>
      </c>
      <c r="K11" s="218">
        <v>2</v>
      </c>
      <c r="L11" s="218">
        <v>1</v>
      </c>
      <c r="M11" s="218">
        <v>1</v>
      </c>
      <c r="N11" s="107">
        <f t="shared" si="0"/>
        <v>384499800</v>
      </c>
      <c r="O11" s="218">
        <v>213611</v>
      </c>
      <c r="P11" s="218">
        <v>900</v>
      </c>
      <c r="Q11" s="218">
        <v>2</v>
      </c>
      <c r="R11" s="218">
        <v>1</v>
      </c>
      <c r="S11" s="218">
        <v>1</v>
      </c>
      <c r="T11" s="107">
        <f t="shared" si="1"/>
        <v>384499800</v>
      </c>
      <c r="U11" s="218">
        <v>213611</v>
      </c>
      <c r="V11" s="218">
        <v>900</v>
      </c>
      <c r="W11" s="218">
        <v>2</v>
      </c>
      <c r="X11" s="218">
        <v>1</v>
      </c>
      <c r="Y11" s="218">
        <v>1</v>
      </c>
      <c r="Z11" s="107">
        <f t="shared" si="2"/>
        <v>384499800</v>
      </c>
      <c r="AA11" s="218">
        <v>213611</v>
      </c>
      <c r="AB11" s="218">
        <v>900</v>
      </c>
      <c r="AC11" s="218">
        <v>2</v>
      </c>
      <c r="AD11" s="218">
        <v>1</v>
      </c>
      <c r="AE11" s="218">
        <v>1</v>
      </c>
      <c r="AF11" s="107">
        <f t="shared" si="3"/>
        <v>384499800</v>
      </c>
      <c r="AG11" s="218">
        <v>213611</v>
      </c>
      <c r="AH11" s="218">
        <v>900</v>
      </c>
      <c r="AI11" s="218">
        <v>2</v>
      </c>
      <c r="AJ11" s="218">
        <v>1</v>
      </c>
      <c r="AK11" s="218">
        <v>1</v>
      </c>
      <c r="AL11" s="107">
        <f t="shared" si="4"/>
        <v>384499800</v>
      </c>
    </row>
    <row r="12" spans="1:38" ht="33.75">
      <c r="A12" s="212" t="s">
        <v>125</v>
      </c>
      <c r="B12" s="212" t="s">
        <v>87</v>
      </c>
      <c r="C12" s="212"/>
      <c r="D12" s="220" t="s">
        <v>323</v>
      </c>
      <c r="E12" s="214" t="s">
        <v>581</v>
      </c>
      <c r="F12" s="215" t="s">
        <v>481</v>
      </c>
      <c r="G12" s="217" t="s">
        <v>322</v>
      </c>
      <c r="H12" s="219" t="s">
        <v>519</v>
      </c>
      <c r="I12" s="221">
        <v>212519</v>
      </c>
      <c r="J12" s="221">
        <v>13274</v>
      </c>
      <c r="K12" s="221">
        <v>2</v>
      </c>
      <c r="L12" s="221">
        <v>1</v>
      </c>
      <c r="M12" s="221">
        <v>1</v>
      </c>
      <c r="N12" s="107">
        <f t="shared" si="0"/>
        <v>5641954412</v>
      </c>
      <c r="O12" s="221">
        <v>212519</v>
      </c>
      <c r="P12" s="221">
        <v>13274</v>
      </c>
      <c r="Q12" s="221">
        <v>2</v>
      </c>
      <c r="R12" s="221">
        <v>1</v>
      </c>
      <c r="S12" s="221">
        <v>1</v>
      </c>
      <c r="T12" s="107">
        <f t="shared" si="1"/>
        <v>5641954412</v>
      </c>
      <c r="U12" s="221">
        <v>212519</v>
      </c>
      <c r="V12" s="221">
        <v>13274</v>
      </c>
      <c r="W12" s="221">
        <v>2</v>
      </c>
      <c r="X12" s="221">
        <v>1</v>
      </c>
      <c r="Y12" s="221">
        <v>1</v>
      </c>
      <c r="Z12" s="107">
        <f t="shared" si="2"/>
        <v>5641954412</v>
      </c>
      <c r="AA12" s="221">
        <v>212519</v>
      </c>
      <c r="AB12" s="221">
        <v>13274</v>
      </c>
      <c r="AC12" s="221">
        <v>2</v>
      </c>
      <c r="AD12" s="221">
        <v>1</v>
      </c>
      <c r="AE12" s="221">
        <v>1</v>
      </c>
      <c r="AF12" s="107">
        <f t="shared" si="3"/>
        <v>5641954412</v>
      </c>
      <c r="AG12" s="221">
        <v>212519</v>
      </c>
      <c r="AH12" s="221">
        <v>13274</v>
      </c>
      <c r="AI12" s="221">
        <v>2</v>
      </c>
      <c r="AJ12" s="221">
        <v>1</v>
      </c>
      <c r="AK12" s="221">
        <v>1</v>
      </c>
      <c r="AL12" s="107">
        <f t="shared" si="4"/>
        <v>5641954412</v>
      </c>
    </row>
    <row r="13" spans="1:38" ht="33.75">
      <c r="A13" s="212" t="s">
        <v>125</v>
      </c>
      <c r="B13" s="212" t="s">
        <v>87</v>
      </c>
      <c r="C13" s="212"/>
      <c r="D13" s="220" t="s">
        <v>323</v>
      </c>
      <c r="E13" s="214" t="s">
        <v>580</v>
      </c>
      <c r="F13" s="215" t="s">
        <v>481</v>
      </c>
      <c r="G13" s="217" t="s">
        <v>322</v>
      </c>
      <c r="H13" s="219" t="s">
        <v>521</v>
      </c>
      <c r="I13" s="221">
        <v>212546</v>
      </c>
      <c r="J13" s="221">
        <v>5482</v>
      </c>
      <c r="K13" s="221">
        <v>2</v>
      </c>
      <c r="L13" s="221">
        <v>1</v>
      </c>
      <c r="M13" s="221">
        <v>1</v>
      </c>
      <c r="N13" s="107">
        <f t="shared" si="0"/>
        <v>2330354344</v>
      </c>
      <c r="O13" s="221">
        <v>212546</v>
      </c>
      <c r="P13" s="221">
        <v>5482</v>
      </c>
      <c r="Q13" s="221">
        <v>2</v>
      </c>
      <c r="R13" s="221">
        <v>1</v>
      </c>
      <c r="S13" s="221">
        <v>1</v>
      </c>
      <c r="T13" s="107">
        <f t="shared" si="1"/>
        <v>2330354344</v>
      </c>
      <c r="U13" s="221">
        <v>212546</v>
      </c>
      <c r="V13" s="221">
        <v>5482</v>
      </c>
      <c r="W13" s="221">
        <v>2</v>
      </c>
      <c r="X13" s="221">
        <v>1</v>
      </c>
      <c r="Y13" s="221">
        <v>1</v>
      </c>
      <c r="Z13" s="107">
        <f t="shared" si="2"/>
        <v>2330354344</v>
      </c>
      <c r="AA13" s="221">
        <v>212546</v>
      </c>
      <c r="AB13" s="221">
        <v>5482</v>
      </c>
      <c r="AC13" s="221">
        <v>2</v>
      </c>
      <c r="AD13" s="221">
        <v>1</v>
      </c>
      <c r="AE13" s="221">
        <v>1</v>
      </c>
      <c r="AF13" s="107">
        <f t="shared" si="3"/>
        <v>2330354344</v>
      </c>
      <c r="AG13" s="221">
        <v>212546</v>
      </c>
      <c r="AH13" s="221">
        <v>5482</v>
      </c>
      <c r="AI13" s="221">
        <v>2</v>
      </c>
      <c r="AJ13" s="221">
        <v>1</v>
      </c>
      <c r="AK13" s="221">
        <v>1</v>
      </c>
      <c r="AL13" s="107">
        <f t="shared" si="4"/>
        <v>2330354344</v>
      </c>
    </row>
    <row r="14" spans="1:38" ht="56.25">
      <c r="A14" s="212" t="s">
        <v>125</v>
      </c>
      <c r="B14" s="212" t="s">
        <v>87</v>
      </c>
      <c r="C14" s="212"/>
      <c r="D14" s="220" t="s">
        <v>323</v>
      </c>
      <c r="E14" s="214" t="s">
        <v>324</v>
      </c>
      <c r="F14" s="215" t="s">
        <v>481</v>
      </c>
      <c r="G14" s="217" t="s">
        <v>322</v>
      </c>
      <c r="H14" s="219" t="s">
        <v>520</v>
      </c>
      <c r="I14" s="218">
        <f>1435897</f>
        <v>1435897</v>
      </c>
      <c r="J14" s="218">
        <v>13</v>
      </c>
      <c r="K14" s="218">
        <v>3</v>
      </c>
      <c r="L14" s="218">
        <v>1</v>
      </c>
      <c r="M14" s="218">
        <v>1</v>
      </c>
      <c r="N14" s="107">
        <f t="shared" si="0"/>
        <v>55999983</v>
      </c>
      <c r="O14" s="218">
        <f>1435897</f>
        <v>1435897</v>
      </c>
      <c r="P14" s="218">
        <v>13</v>
      </c>
      <c r="Q14" s="218">
        <v>3</v>
      </c>
      <c r="R14" s="218">
        <v>1</v>
      </c>
      <c r="S14" s="218">
        <v>1</v>
      </c>
      <c r="T14" s="107">
        <f t="shared" si="1"/>
        <v>55999983</v>
      </c>
      <c r="U14" s="218">
        <f>1435897</f>
        <v>1435897</v>
      </c>
      <c r="V14" s="218">
        <v>13</v>
      </c>
      <c r="W14" s="218">
        <v>3</v>
      </c>
      <c r="X14" s="218">
        <v>1</v>
      </c>
      <c r="Y14" s="218">
        <v>1</v>
      </c>
      <c r="Z14" s="107">
        <f t="shared" si="2"/>
        <v>55999983</v>
      </c>
      <c r="AA14" s="218">
        <f>1435897</f>
        <v>1435897</v>
      </c>
      <c r="AB14" s="218">
        <v>13</v>
      </c>
      <c r="AC14" s="218">
        <v>3</v>
      </c>
      <c r="AD14" s="218">
        <v>1</v>
      </c>
      <c r="AE14" s="218">
        <v>1</v>
      </c>
      <c r="AF14" s="107">
        <f t="shared" si="3"/>
        <v>55999983</v>
      </c>
      <c r="AG14" s="218">
        <f>1435897</f>
        <v>1435897</v>
      </c>
      <c r="AH14" s="218">
        <v>13</v>
      </c>
      <c r="AI14" s="218">
        <v>3</v>
      </c>
      <c r="AJ14" s="218">
        <v>1</v>
      </c>
      <c r="AK14" s="218">
        <v>1</v>
      </c>
      <c r="AL14" s="107">
        <f t="shared" si="4"/>
        <v>55999983</v>
      </c>
    </row>
    <row r="15" spans="1:38" ht="45">
      <c r="A15" s="212" t="s">
        <v>125</v>
      </c>
      <c r="B15" s="212" t="s">
        <v>87</v>
      </c>
      <c r="C15" s="212"/>
      <c r="D15" s="222" t="s">
        <v>325</v>
      </c>
      <c r="E15" s="214" t="s">
        <v>326</v>
      </c>
      <c r="F15" s="215" t="s">
        <v>481</v>
      </c>
      <c r="G15" s="217" t="s">
        <v>322</v>
      </c>
      <c r="H15" s="219" t="s">
        <v>522</v>
      </c>
      <c r="I15" s="218">
        <v>231000000</v>
      </c>
      <c r="J15" s="218">
        <v>1</v>
      </c>
      <c r="K15" s="218">
        <v>1</v>
      </c>
      <c r="L15" s="218">
        <v>1</v>
      </c>
      <c r="M15" s="218">
        <v>1</v>
      </c>
      <c r="N15" s="107">
        <f t="shared" si="0"/>
        <v>231000000</v>
      </c>
      <c r="O15" s="218">
        <v>231000000</v>
      </c>
      <c r="P15" s="218">
        <v>1</v>
      </c>
      <c r="Q15" s="218">
        <v>1</v>
      </c>
      <c r="R15" s="218">
        <v>1</v>
      </c>
      <c r="S15" s="218">
        <v>1</v>
      </c>
      <c r="T15" s="107">
        <f t="shared" si="1"/>
        <v>231000000</v>
      </c>
      <c r="U15" s="218">
        <v>231000000</v>
      </c>
      <c r="V15" s="218">
        <v>1</v>
      </c>
      <c r="W15" s="218">
        <v>1</v>
      </c>
      <c r="X15" s="218">
        <v>1</v>
      </c>
      <c r="Y15" s="218">
        <v>1</v>
      </c>
      <c r="Z15" s="107">
        <f t="shared" si="2"/>
        <v>231000000</v>
      </c>
      <c r="AA15" s="218">
        <v>231000000</v>
      </c>
      <c r="AB15" s="218">
        <v>1</v>
      </c>
      <c r="AC15" s="218">
        <v>1</v>
      </c>
      <c r="AD15" s="218">
        <v>1</v>
      </c>
      <c r="AE15" s="218">
        <v>1</v>
      </c>
      <c r="AF15" s="107">
        <f t="shared" si="3"/>
        <v>231000000</v>
      </c>
      <c r="AG15" s="218">
        <v>231000000</v>
      </c>
      <c r="AH15" s="218">
        <v>1</v>
      </c>
      <c r="AI15" s="218">
        <v>1</v>
      </c>
      <c r="AJ15" s="218">
        <v>1</v>
      </c>
      <c r="AK15" s="218">
        <v>1</v>
      </c>
      <c r="AL15" s="107">
        <f t="shared" si="4"/>
        <v>231000000</v>
      </c>
    </row>
    <row r="16" spans="1:38" ht="45">
      <c r="A16" s="212" t="s">
        <v>125</v>
      </c>
      <c r="B16" s="212" t="s">
        <v>87</v>
      </c>
      <c r="C16" s="212"/>
      <c r="D16" s="222" t="s">
        <v>325</v>
      </c>
      <c r="E16" s="214" t="s">
        <v>327</v>
      </c>
      <c r="F16" s="215" t="s">
        <v>481</v>
      </c>
      <c r="G16" s="217" t="s">
        <v>322</v>
      </c>
      <c r="H16" s="219" t="s">
        <v>523</v>
      </c>
      <c r="I16" s="218">
        <v>76850</v>
      </c>
      <c r="J16" s="218">
        <v>29330</v>
      </c>
      <c r="K16" s="218">
        <v>5</v>
      </c>
      <c r="L16" s="218">
        <v>1</v>
      </c>
      <c r="M16" s="218">
        <v>1</v>
      </c>
      <c r="N16" s="107">
        <f t="shared" si="0"/>
        <v>11270052500</v>
      </c>
      <c r="O16" s="218">
        <v>76850</v>
      </c>
      <c r="P16" s="218">
        <v>29330</v>
      </c>
      <c r="Q16" s="218">
        <v>5</v>
      </c>
      <c r="R16" s="218">
        <v>1</v>
      </c>
      <c r="S16" s="218">
        <v>1</v>
      </c>
      <c r="T16" s="107">
        <f t="shared" si="1"/>
        <v>11270052500</v>
      </c>
      <c r="U16" s="218">
        <v>76850</v>
      </c>
      <c r="V16" s="218">
        <v>29330</v>
      </c>
      <c r="W16" s="218">
        <v>5</v>
      </c>
      <c r="X16" s="218">
        <v>1</v>
      </c>
      <c r="Y16" s="218">
        <v>1</v>
      </c>
      <c r="Z16" s="107">
        <f t="shared" si="2"/>
        <v>11270052500</v>
      </c>
      <c r="AA16" s="218">
        <v>76850</v>
      </c>
      <c r="AB16" s="218">
        <v>29330</v>
      </c>
      <c r="AC16" s="218">
        <v>5</v>
      </c>
      <c r="AD16" s="218">
        <v>1</v>
      </c>
      <c r="AE16" s="218">
        <v>1</v>
      </c>
      <c r="AF16" s="107">
        <f t="shared" si="3"/>
        <v>11270052500</v>
      </c>
      <c r="AG16" s="218">
        <v>76850</v>
      </c>
      <c r="AH16" s="218">
        <v>29330</v>
      </c>
      <c r="AI16" s="218">
        <v>5</v>
      </c>
      <c r="AJ16" s="218">
        <v>1</v>
      </c>
      <c r="AK16" s="218">
        <v>1</v>
      </c>
      <c r="AL16" s="107">
        <f t="shared" si="4"/>
        <v>11270052500</v>
      </c>
    </row>
    <row r="17" spans="1:38" ht="38.25" customHeight="1">
      <c r="A17" s="212" t="s">
        <v>125</v>
      </c>
      <c r="B17" s="212" t="s">
        <v>87</v>
      </c>
      <c r="C17" s="212"/>
      <c r="D17" s="222" t="s">
        <v>325</v>
      </c>
      <c r="E17" s="214" t="s">
        <v>328</v>
      </c>
      <c r="F17" s="215" t="s">
        <v>481</v>
      </c>
      <c r="G17" s="217" t="s">
        <v>322</v>
      </c>
      <c r="H17" s="219" t="s">
        <v>524</v>
      </c>
      <c r="I17" s="218">
        <f>902857</f>
        <v>902857</v>
      </c>
      <c r="J17" s="218">
        <v>70</v>
      </c>
      <c r="K17" s="218">
        <v>14</v>
      </c>
      <c r="L17" s="218">
        <v>1</v>
      </c>
      <c r="M17" s="218">
        <v>1</v>
      </c>
      <c r="N17" s="107">
        <f t="shared" si="0"/>
        <v>884799860</v>
      </c>
      <c r="O17" s="218">
        <f>902857</f>
        <v>902857</v>
      </c>
      <c r="P17" s="218">
        <v>70</v>
      </c>
      <c r="Q17" s="218">
        <v>14</v>
      </c>
      <c r="R17" s="218">
        <v>1</v>
      </c>
      <c r="S17" s="218">
        <v>1</v>
      </c>
      <c r="T17" s="107">
        <f t="shared" si="1"/>
        <v>884799860</v>
      </c>
      <c r="U17" s="218">
        <f>902857</f>
        <v>902857</v>
      </c>
      <c r="V17" s="218">
        <v>70</v>
      </c>
      <c r="W17" s="218">
        <v>14</v>
      </c>
      <c r="X17" s="218">
        <v>1</v>
      </c>
      <c r="Y17" s="218">
        <v>1</v>
      </c>
      <c r="Z17" s="107">
        <f t="shared" si="2"/>
        <v>884799860</v>
      </c>
      <c r="AA17" s="218">
        <f>902857</f>
        <v>902857</v>
      </c>
      <c r="AB17" s="218">
        <v>70</v>
      </c>
      <c r="AC17" s="218">
        <v>14</v>
      </c>
      <c r="AD17" s="218">
        <v>1</v>
      </c>
      <c r="AE17" s="218">
        <v>1</v>
      </c>
      <c r="AF17" s="107">
        <f t="shared" si="3"/>
        <v>884799860</v>
      </c>
      <c r="AG17" s="218">
        <f>902857</f>
        <v>902857</v>
      </c>
      <c r="AH17" s="218">
        <v>70</v>
      </c>
      <c r="AI17" s="218">
        <v>14</v>
      </c>
      <c r="AJ17" s="218">
        <v>1</v>
      </c>
      <c r="AK17" s="218">
        <v>1</v>
      </c>
      <c r="AL17" s="107">
        <f t="shared" si="4"/>
        <v>884799860</v>
      </c>
    </row>
    <row r="18" spans="1:38" ht="45">
      <c r="A18" s="212" t="s">
        <v>125</v>
      </c>
      <c r="B18" s="212" t="s">
        <v>87</v>
      </c>
      <c r="C18" s="212"/>
      <c r="D18" s="222" t="s">
        <v>325</v>
      </c>
      <c r="E18" s="214" t="s">
        <v>329</v>
      </c>
      <c r="F18" s="215" t="s">
        <v>481</v>
      </c>
      <c r="G18" s="217" t="s">
        <v>322</v>
      </c>
      <c r="H18" s="219" t="s">
        <v>524</v>
      </c>
      <c r="I18" s="218">
        <v>703333</v>
      </c>
      <c r="J18" s="218">
        <v>24</v>
      </c>
      <c r="K18" s="218">
        <v>5</v>
      </c>
      <c r="L18" s="218">
        <v>1</v>
      </c>
      <c r="M18" s="218">
        <v>1</v>
      </c>
      <c r="N18" s="107">
        <f t="shared" si="0"/>
        <v>84399960</v>
      </c>
      <c r="O18" s="218">
        <v>703333</v>
      </c>
      <c r="P18" s="218">
        <v>24</v>
      </c>
      <c r="Q18" s="218">
        <v>5</v>
      </c>
      <c r="R18" s="218">
        <v>1</v>
      </c>
      <c r="S18" s="218">
        <v>1</v>
      </c>
      <c r="T18" s="107">
        <f t="shared" si="1"/>
        <v>84399960</v>
      </c>
      <c r="U18" s="218">
        <v>703333</v>
      </c>
      <c r="V18" s="218">
        <v>24</v>
      </c>
      <c r="W18" s="218">
        <v>5</v>
      </c>
      <c r="X18" s="218">
        <v>1</v>
      </c>
      <c r="Y18" s="218">
        <v>1</v>
      </c>
      <c r="Z18" s="107">
        <f t="shared" si="2"/>
        <v>84399960</v>
      </c>
      <c r="AA18" s="218">
        <v>703333</v>
      </c>
      <c r="AB18" s="218">
        <v>24</v>
      </c>
      <c r="AC18" s="218">
        <v>5</v>
      </c>
      <c r="AD18" s="218">
        <v>1</v>
      </c>
      <c r="AE18" s="218">
        <v>1</v>
      </c>
      <c r="AF18" s="107">
        <f t="shared" si="3"/>
        <v>84399960</v>
      </c>
      <c r="AG18" s="218">
        <v>703333</v>
      </c>
      <c r="AH18" s="218">
        <v>24</v>
      </c>
      <c r="AI18" s="218">
        <v>5</v>
      </c>
      <c r="AJ18" s="218">
        <v>1</v>
      </c>
      <c r="AK18" s="218">
        <v>1</v>
      </c>
      <c r="AL18" s="107">
        <f t="shared" si="4"/>
        <v>84399960</v>
      </c>
    </row>
    <row r="19" spans="1:38" ht="45">
      <c r="A19" s="212" t="s">
        <v>125</v>
      </c>
      <c r="B19" s="212" t="s">
        <v>87</v>
      </c>
      <c r="C19" s="212"/>
      <c r="D19" s="222" t="s">
        <v>325</v>
      </c>
      <c r="E19" s="214" t="s">
        <v>330</v>
      </c>
      <c r="F19" s="215" t="s">
        <v>481</v>
      </c>
      <c r="G19" s="217" t="s">
        <v>322</v>
      </c>
      <c r="H19" s="219" t="s">
        <v>525</v>
      </c>
      <c r="I19" s="218">
        <v>166667</v>
      </c>
      <c r="J19" s="218">
        <v>114</v>
      </c>
      <c r="K19" s="218">
        <v>7</v>
      </c>
      <c r="L19" s="218">
        <v>1</v>
      </c>
      <c r="M19" s="218">
        <v>1</v>
      </c>
      <c r="N19" s="107">
        <f t="shared" si="0"/>
        <v>133000266</v>
      </c>
      <c r="O19" s="218">
        <v>166667</v>
      </c>
      <c r="P19" s="218">
        <v>114</v>
      </c>
      <c r="Q19" s="218">
        <v>7</v>
      </c>
      <c r="R19" s="218">
        <v>1</v>
      </c>
      <c r="S19" s="218">
        <v>1</v>
      </c>
      <c r="T19" s="107">
        <f t="shared" si="1"/>
        <v>133000266</v>
      </c>
      <c r="U19" s="218">
        <v>166667</v>
      </c>
      <c r="V19" s="218">
        <v>114</v>
      </c>
      <c r="W19" s="218">
        <v>7</v>
      </c>
      <c r="X19" s="218">
        <v>1</v>
      </c>
      <c r="Y19" s="218">
        <v>1</v>
      </c>
      <c r="Z19" s="107">
        <f t="shared" si="2"/>
        <v>133000266</v>
      </c>
      <c r="AA19" s="218">
        <v>166667</v>
      </c>
      <c r="AB19" s="218">
        <v>114</v>
      </c>
      <c r="AC19" s="218">
        <v>7</v>
      </c>
      <c r="AD19" s="218">
        <v>1</v>
      </c>
      <c r="AE19" s="218">
        <v>1</v>
      </c>
      <c r="AF19" s="107">
        <f t="shared" si="3"/>
        <v>133000266</v>
      </c>
      <c r="AG19" s="218">
        <v>166667</v>
      </c>
      <c r="AH19" s="218">
        <v>114</v>
      </c>
      <c r="AI19" s="218">
        <v>7</v>
      </c>
      <c r="AJ19" s="218">
        <v>1</v>
      </c>
      <c r="AK19" s="218">
        <v>1</v>
      </c>
      <c r="AL19" s="107">
        <f t="shared" si="4"/>
        <v>133000266</v>
      </c>
    </row>
    <row r="20" spans="1:38" ht="45">
      <c r="A20" s="212" t="s">
        <v>125</v>
      </c>
      <c r="B20" s="212" t="s">
        <v>87</v>
      </c>
      <c r="C20" s="212"/>
      <c r="D20" s="222" t="s">
        <v>325</v>
      </c>
      <c r="E20" s="214" t="s">
        <v>331</v>
      </c>
      <c r="F20" s="215" t="s">
        <v>481</v>
      </c>
      <c r="G20" s="217" t="s">
        <v>322</v>
      </c>
      <c r="H20" s="219" t="s">
        <v>525</v>
      </c>
      <c r="I20" s="218">
        <v>150000</v>
      </c>
      <c r="J20" s="218">
        <v>824</v>
      </c>
      <c r="K20" s="218">
        <v>5</v>
      </c>
      <c r="L20" s="218">
        <v>1</v>
      </c>
      <c r="M20" s="218">
        <v>1</v>
      </c>
      <c r="N20" s="107">
        <f t="shared" si="0"/>
        <v>618000000</v>
      </c>
      <c r="O20" s="218">
        <v>150000</v>
      </c>
      <c r="P20" s="218">
        <v>824</v>
      </c>
      <c r="Q20" s="218">
        <v>5</v>
      </c>
      <c r="R20" s="218">
        <v>1</v>
      </c>
      <c r="S20" s="218">
        <v>1</v>
      </c>
      <c r="T20" s="107">
        <f t="shared" si="1"/>
        <v>618000000</v>
      </c>
      <c r="U20" s="218">
        <v>150000</v>
      </c>
      <c r="V20" s="218">
        <v>824</v>
      </c>
      <c r="W20" s="218">
        <v>5</v>
      </c>
      <c r="X20" s="218">
        <v>1</v>
      </c>
      <c r="Y20" s="218">
        <v>1</v>
      </c>
      <c r="Z20" s="107">
        <f t="shared" si="2"/>
        <v>618000000</v>
      </c>
      <c r="AA20" s="218">
        <v>150000</v>
      </c>
      <c r="AB20" s="218">
        <v>824</v>
      </c>
      <c r="AC20" s="218">
        <v>5</v>
      </c>
      <c r="AD20" s="218">
        <v>1</v>
      </c>
      <c r="AE20" s="218">
        <v>1</v>
      </c>
      <c r="AF20" s="107">
        <f t="shared" si="3"/>
        <v>618000000</v>
      </c>
      <c r="AG20" s="218">
        <v>150000</v>
      </c>
      <c r="AH20" s="218">
        <v>824</v>
      </c>
      <c r="AI20" s="218">
        <v>5</v>
      </c>
      <c r="AJ20" s="218">
        <v>1</v>
      </c>
      <c r="AK20" s="218">
        <v>1</v>
      </c>
      <c r="AL20" s="107">
        <f t="shared" si="4"/>
        <v>618000000</v>
      </c>
    </row>
    <row r="21" spans="1:38" ht="33.75">
      <c r="A21" s="212" t="s">
        <v>125</v>
      </c>
      <c r="B21" s="212" t="s">
        <v>87</v>
      </c>
      <c r="C21" s="212"/>
      <c r="D21" s="222" t="s">
        <v>332</v>
      </c>
      <c r="E21" s="223" t="s">
        <v>333</v>
      </c>
      <c r="F21" s="215" t="s">
        <v>481</v>
      </c>
      <c r="G21" s="217" t="s">
        <v>322</v>
      </c>
      <c r="H21" s="219" t="s">
        <v>526</v>
      </c>
      <c r="I21" s="218">
        <v>2420000</v>
      </c>
      <c r="J21" s="218">
        <v>38</v>
      </c>
      <c r="K21" s="218">
        <v>9</v>
      </c>
      <c r="L21" s="218">
        <v>1</v>
      </c>
      <c r="M21" s="218">
        <v>1</v>
      </c>
      <c r="N21" s="107">
        <f t="shared" si="0"/>
        <v>827640000</v>
      </c>
      <c r="O21" s="218">
        <v>2420000</v>
      </c>
      <c r="P21" s="218">
        <v>38</v>
      </c>
      <c r="Q21" s="218">
        <v>9</v>
      </c>
      <c r="R21" s="218">
        <v>1</v>
      </c>
      <c r="S21" s="218">
        <v>1</v>
      </c>
      <c r="T21" s="107">
        <f t="shared" si="1"/>
        <v>827640000</v>
      </c>
      <c r="U21" s="218">
        <v>2420000</v>
      </c>
      <c r="V21" s="218">
        <v>38</v>
      </c>
      <c r="W21" s="218">
        <v>9</v>
      </c>
      <c r="X21" s="218">
        <v>1</v>
      </c>
      <c r="Y21" s="218">
        <v>1</v>
      </c>
      <c r="Z21" s="107">
        <f t="shared" si="2"/>
        <v>827640000</v>
      </c>
      <c r="AA21" s="218">
        <v>2420000</v>
      </c>
      <c r="AB21" s="218">
        <v>38</v>
      </c>
      <c r="AC21" s="218">
        <v>9</v>
      </c>
      <c r="AD21" s="218">
        <v>1</v>
      </c>
      <c r="AE21" s="218">
        <v>1</v>
      </c>
      <c r="AF21" s="107">
        <f t="shared" si="3"/>
        <v>827640000</v>
      </c>
      <c r="AG21" s="218">
        <v>2420000</v>
      </c>
      <c r="AH21" s="218">
        <v>38</v>
      </c>
      <c r="AI21" s="218">
        <v>9</v>
      </c>
      <c r="AJ21" s="218">
        <v>1</v>
      </c>
      <c r="AK21" s="218">
        <v>1</v>
      </c>
      <c r="AL21" s="107">
        <f t="shared" si="4"/>
        <v>827640000</v>
      </c>
    </row>
    <row r="22" spans="1:38" ht="33.75">
      <c r="A22" s="212" t="s">
        <v>125</v>
      </c>
      <c r="B22" s="212" t="s">
        <v>87</v>
      </c>
      <c r="C22" s="212"/>
      <c r="D22" s="222" t="s">
        <v>332</v>
      </c>
      <c r="E22" s="224" t="s">
        <v>334</v>
      </c>
      <c r="F22" s="215" t="s">
        <v>481</v>
      </c>
      <c r="G22" s="217" t="s">
        <v>322</v>
      </c>
      <c r="H22" s="219" t="s">
        <v>527</v>
      </c>
      <c r="I22" s="218">
        <v>2420000</v>
      </c>
      <c r="J22" s="218">
        <v>38</v>
      </c>
      <c r="K22" s="218">
        <v>1</v>
      </c>
      <c r="L22" s="218">
        <v>1</v>
      </c>
      <c r="M22" s="218">
        <v>1</v>
      </c>
      <c r="N22" s="107">
        <f t="shared" si="0"/>
        <v>91960000</v>
      </c>
      <c r="O22" s="218">
        <v>2420000</v>
      </c>
      <c r="P22" s="218">
        <v>38</v>
      </c>
      <c r="Q22" s="218">
        <v>1</v>
      </c>
      <c r="R22" s="218">
        <v>1</v>
      </c>
      <c r="S22" s="218">
        <v>1</v>
      </c>
      <c r="T22" s="107">
        <f t="shared" si="1"/>
        <v>91960000</v>
      </c>
      <c r="U22" s="218">
        <v>2420000</v>
      </c>
      <c r="V22" s="218">
        <v>38</v>
      </c>
      <c r="W22" s="218">
        <v>1</v>
      </c>
      <c r="X22" s="218">
        <v>1</v>
      </c>
      <c r="Y22" s="218">
        <v>1</v>
      </c>
      <c r="Z22" s="107">
        <f t="shared" si="2"/>
        <v>91960000</v>
      </c>
      <c r="AA22" s="218">
        <v>2420000</v>
      </c>
      <c r="AB22" s="218">
        <v>38</v>
      </c>
      <c r="AC22" s="218">
        <v>1</v>
      </c>
      <c r="AD22" s="218">
        <v>1</v>
      </c>
      <c r="AE22" s="218">
        <v>1</v>
      </c>
      <c r="AF22" s="107">
        <f t="shared" si="3"/>
        <v>91960000</v>
      </c>
      <c r="AG22" s="218">
        <v>2420000</v>
      </c>
      <c r="AH22" s="218">
        <v>38</v>
      </c>
      <c r="AI22" s="218">
        <v>1</v>
      </c>
      <c r="AJ22" s="218">
        <v>1</v>
      </c>
      <c r="AK22" s="218">
        <v>1</v>
      </c>
      <c r="AL22" s="107">
        <f t="shared" si="4"/>
        <v>91960000</v>
      </c>
    </row>
    <row r="23" spans="1:38" ht="33.75">
      <c r="A23" s="212" t="s">
        <v>125</v>
      </c>
      <c r="B23" s="212" t="s">
        <v>87</v>
      </c>
      <c r="C23" s="212"/>
      <c r="D23" s="222" t="s">
        <v>332</v>
      </c>
      <c r="E23" s="223" t="s">
        <v>335</v>
      </c>
      <c r="F23" s="215" t="s">
        <v>481</v>
      </c>
      <c r="G23" s="217" t="s">
        <v>322</v>
      </c>
      <c r="H23" s="219" t="s">
        <v>528</v>
      </c>
      <c r="I23" s="218">
        <v>284426</v>
      </c>
      <c r="J23" s="218">
        <v>488</v>
      </c>
      <c r="K23" s="218">
        <v>2</v>
      </c>
      <c r="L23" s="218">
        <v>1</v>
      </c>
      <c r="M23" s="218">
        <v>1</v>
      </c>
      <c r="N23" s="107">
        <f t="shared" si="0"/>
        <v>277599776</v>
      </c>
      <c r="O23" s="218">
        <v>284426</v>
      </c>
      <c r="P23" s="218">
        <v>488</v>
      </c>
      <c r="Q23" s="218">
        <v>2</v>
      </c>
      <c r="R23" s="218">
        <v>1</v>
      </c>
      <c r="S23" s="218">
        <v>1</v>
      </c>
      <c r="T23" s="107">
        <f t="shared" si="1"/>
        <v>277599776</v>
      </c>
      <c r="U23" s="218">
        <v>284426</v>
      </c>
      <c r="V23" s="218">
        <v>488</v>
      </c>
      <c r="W23" s="218">
        <v>2</v>
      </c>
      <c r="X23" s="218">
        <v>1</v>
      </c>
      <c r="Y23" s="218">
        <v>1</v>
      </c>
      <c r="Z23" s="107">
        <f t="shared" si="2"/>
        <v>277599776</v>
      </c>
      <c r="AA23" s="218">
        <v>284426</v>
      </c>
      <c r="AB23" s="218">
        <v>488</v>
      </c>
      <c r="AC23" s="218">
        <v>2</v>
      </c>
      <c r="AD23" s="218">
        <v>1</v>
      </c>
      <c r="AE23" s="218">
        <v>1</v>
      </c>
      <c r="AF23" s="107">
        <f t="shared" si="3"/>
        <v>277599776</v>
      </c>
      <c r="AG23" s="218">
        <v>284426</v>
      </c>
      <c r="AH23" s="218">
        <v>488</v>
      </c>
      <c r="AI23" s="218">
        <v>2</v>
      </c>
      <c r="AJ23" s="218">
        <v>1</v>
      </c>
      <c r="AK23" s="218">
        <v>1</v>
      </c>
      <c r="AL23" s="107">
        <f t="shared" si="4"/>
        <v>277599776</v>
      </c>
    </row>
    <row r="24" spans="1:38" ht="33.75">
      <c r="A24" s="212" t="s">
        <v>125</v>
      </c>
      <c r="B24" s="212" t="s">
        <v>87</v>
      </c>
      <c r="C24" s="212"/>
      <c r="D24" s="222" t="s">
        <v>332</v>
      </c>
      <c r="E24" s="225" t="s">
        <v>336</v>
      </c>
      <c r="F24" s="215" t="s">
        <v>481</v>
      </c>
      <c r="G24" s="217" t="s">
        <v>322</v>
      </c>
      <c r="H24" s="219" t="s">
        <v>528</v>
      </c>
      <c r="I24" s="221">
        <v>556153</v>
      </c>
      <c r="J24" s="221">
        <v>130</v>
      </c>
      <c r="K24" s="221">
        <v>2</v>
      </c>
      <c r="L24" s="221">
        <v>1</v>
      </c>
      <c r="M24" s="221">
        <v>1</v>
      </c>
      <c r="N24" s="146">
        <f t="shared" si="0"/>
        <v>144599780</v>
      </c>
      <c r="O24" s="221">
        <v>556153</v>
      </c>
      <c r="P24" s="221">
        <v>130</v>
      </c>
      <c r="Q24" s="221">
        <v>2</v>
      </c>
      <c r="R24" s="221">
        <v>1</v>
      </c>
      <c r="S24" s="221">
        <v>1</v>
      </c>
      <c r="T24" s="146">
        <f t="shared" si="1"/>
        <v>144599780</v>
      </c>
      <c r="U24" s="221">
        <v>556153</v>
      </c>
      <c r="V24" s="221">
        <v>130</v>
      </c>
      <c r="W24" s="221">
        <v>2</v>
      </c>
      <c r="X24" s="221">
        <v>1</v>
      </c>
      <c r="Y24" s="221">
        <v>1</v>
      </c>
      <c r="Z24" s="146">
        <f t="shared" si="2"/>
        <v>144599780</v>
      </c>
      <c r="AA24" s="221">
        <v>556153</v>
      </c>
      <c r="AB24" s="221">
        <v>130</v>
      </c>
      <c r="AC24" s="221">
        <v>2</v>
      </c>
      <c r="AD24" s="221">
        <v>1</v>
      </c>
      <c r="AE24" s="221">
        <v>1</v>
      </c>
      <c r="AF24" s="146">
        <f t="shared" si="3"/>
        <v>144599780</v>
      </c>
      <c r="AG24" s="221">
        <v>556153</v>
      </c>
      <c r="AH24" s="221">
        <v>130</v>
      </c>
      <c r="AI24" s="221">
        <v>2</v>
      </c>
      <c r="AJ24" s="221">
        <v>1</v>
      </c>
      <c r="AK24" s="221">
        <v>1</v>
      </c>
      <c r="AL24" s="146">
        <f t="shared" si="4"/>
        <v>144599780</v>
      </c>
    </row>
    <row r="25" spans="1:38" ht="101.25">
      <c r="A25" s="212" t="s">
        <v>125</v>
      </c>
      <c r="B25" s="212" t="s">
        <v>89</v>
      </c>
      <c r="C25" s="212"/>
      <c r="D25" s="222" t="s">
        <v>337</v>
      </c>
      <c r="E25" s="225" t="s">
        <v>338</v>
      </c>
      <c r="F25" s="226" t="s">
        <v>482</v>
      </c>
      <c r="G25" s="217" t="s">
        <v>322</v>
      </c>
      <c r="H25" s="219" t="s">
        <v>529</v>
      </c>
      <c r="I25" s="221">
        <v>3223015</v>
      </c>
      <c r="J25" s="221">
        <v>140</v>
      </c>
      <c r="K25" s="221">
        <v>3</v>
      </c>
      <c r="L25" s="221">
        <v>1</v>
      </c>
      <c r="M25" s="221">
        <v>1</v>
      </c>
      <c r="N25" s="146">
        <f t="shared" si="0"/>
        <v>1353666300</v>
      </c>
      <c r="O25" s="221">
        <v>3223015</v>
      </c>
      <c r="P25" s="221">
        <v>140</v>
      </c>
      <c r="Q25" s="221">
        <v>3</v>
      </c>
      <c r="R25" s="221">
        <v>1</v>
      </c>
      <c r="S25" s="221">
        <v>1</v>
      </c>
      <c r="T25" s="146">
        <f t="shared" si="1"/>
        <v>1353666300</v>
      </c>
      <c r="U25" s="221">
        <v>3223015</v>
      </c>
      <c r="V25" s="221">
        <v>140</v>
      </c>
      <c r="W25" s="221">
        <v>3</v>
      </c>
      <c r="X25" s="221">
        <v>1</v>
      </c>
      <c r="Y25" s="221">
        <v>1</v>
      </c>
      <c r="Z25" s="146">
        <f t="shared" si="2"/>
        <v>1353666300</v>
      </c>
      <c r="AA25" s="221">
        <v>3223015</v>
      </c>
      <c r="AB25" s="221">
        <v>140</v>
      </c>
      <c r="AC25" s="221">
        <v>3</v>
      </c>
      <c r="AD25" s="221">
        <v>1</v>
      </c>
      <c r="AE25" s="221">
        <v>1</v>
      </c>
      <c r="AF25" s="146">
        <f t="shared" si="3"/>
        <v>1353666300</v>
      </c>
      <c r="AG25" s="221">
        <v>3223015</v>
      </c>
      <c r="AH25" s="221">
        <v>140</v>
      </c>
      <c r="AI25" s="221">
        <v>3</v>
      </c>
      <c r="AJ25" s="221">
        <v>1</v>
      </c>
      <c r="AK25" s="221">
        <v>1</v>
      </c>
      <c r="AL25" s="146">
        <f t="shared" si="4"/>
        <v>1353666300</v>
      </c>
    </row>
    <row r="26" spans="1:38" ht="101.25">
      <c r="A26" s="212" t="s">
        <v>125</v>
      </c>
      <c r="B26" s="212" t="s">
        <v>89</v>
      </c>
      <c r="C26" s="212"/>
      <c r="D26" s="222" t="s">
        <v>337</v>
      </c>
      <c r="E26" s="225" t="s">
        <v>339</v>
      </c>
      <c r="F26" s="226" t="s">
        <v>482</v>
      </c>
      <c r="G26" s="217" t="s">
        <v>322</v>
      </c>
      <c r="H26" s="219" t="s">
        <v>530</v>
      </c>
      <c r="I26" s="221">
        <v>474545</v>
      </c>
      <c r="J26" s="221">
        <v>110</v>
      </c>
      <c r="K26" s="221">
        <v>8</v>
      </c>
      <c r="L26" s="221">
        <v>1</v>
      </c>
      <c r="M26" s="221">
        <v>2</v>
      </c>
      <c r="N26" s="146">
        <f t="shared" si="0"/>
        <v>835199200</v>
      </c>
      <c r="O26" s="221">
        <v>474545</v>
      </c>
      <c r="P26" s="221">
        <v>110</v>
      </c>
      <c r="Q26" s="221">
        <v>8</v>
      </c>
      <c r="R26" s="221">
        <v>1</v>
      </c>
      <c r="S26" s="221">
        <v>2</v>
      </c>
      <c r="T26" s="146">
        <f t="shared" si="1"/>
        <v>835199200</v>
      </c>
      <c r="U26" s="221">
        <v>474545</v>
      </c>
      <c r="V26" s="221">
        <v>110</v>
      </c>
      <c r="W26" s="221">
        <v>8</v>
      </c>
      <c r="X26" s="221">
        <v>1</v>
      </c>
      <c r="Y26" s="221">
        <v>2</v>
      </c>
      <c r="Z26" s="146">
        <f t="shared" si="2"/>
        <v>835199200</v>
      </c>
      <c r="AA26" s="221">
        <v>474545</v>
      </c>
      <c r="AB26" s="221">
        <v>110</v>
      </c>
      <c r="AC26" s="221">
        <v>8</v>
      </c>
      <c r="AD26" s="221">
        <v>1</v>
      </c>
      <c r="AE26" s="221">
        <v>2</v>
      </c>
      <c r="AF26" s="146">
        <f t="shared" si="3"/>
        <v>835199200</v>
      </c>
      <c r="AG26" s="221">
        <v>474545</v>
      </c>
      <c r="AH26" s="221">
        <v>110</v>
      </c>
      <c r="AI26" s="221">
        <v>8</v>
      </c>
      <c r="AJ26" s="221">
        <v>1</v>
      </c>
      <c r="AK26" s="221">
        <v>2</v>
      </c>
      <c r="AL26" s="146">
        <f t="shared" si="4"/>
        <v>835199200</v>
      </c>
    </row>
    <row r="27" spans="1:38" ht="101.25">
      <c r="A27" s="212" t="s">
        <v>125</v>
      </c>
      <c r="B27" s="212" t="s">
        <v>89</v>
      </c>
      <c r="C27" s="212"/>
      <c r="D27" s="222" t="s">
        <v>337</v>
      </c>
      <c r="E27" s="214" t="s">
        <v>340</v>
      </c>
      <c r="F27" s="226" t="s">
        <v>482</v>
      </c>
      <c r="G27" s="217" t="s">
        <v>322</v>
      </c>
      <c r="H27" s="219" t="s">
        <v>531</v>
      </c>
      <c r="I27" s="221">
        <v>16200000</v>
      </c>
      <c r="J27" s="221">
        <v>1</v>
      </c>
      <c r="K27" s="221">
        <v>1</v>
      </c>
      <c r="L27" s="221">
        <v>1</v>
      </c>
      <c r="M27" s="221">
        <v>2</v>
      </c>
      <c r="N27" s="146">
        <f t="shared" si="0"/>
        <v>32400000</v>
      </c>
      <c r="O27" s="221">
        <v>16200000</v>
      </c>
      <c r="P27" s="221">
        <v>1</v>
      </c>
      <c r="Q27" s="221">
        <v>1</v>
      </c>
      <c r="R27" s="221">
        <v>1</v>
      </c>
      <c r="S27" s="221">
        <v>2</v>
      </c>
      <c r="T27" s="146">
        <f t="shared" si="1"/>
        <v>32400000</v>
      </c>
      <c r="U27" s="221">
        <v>16200000</v>
      </c>
      <c r="V27" s="221">
        <v>1</v>
      </c>
      <c r="W27" s="221">
        <v>1</v>
      </c>
      <c r="X27" s="221">
        <v>1</v>
      </c>
      <c r="Y27" s="221">
        <v>2</v>
      </c>
      <c r="Z27" s="146">
        <f t="shared" si="2"/>
        <v>32400000</v>
      </c>
      <c r="AA27" s="221">
        <v>16200000</v>
      </c>
      <c r="AB27" s="221">
        <v>1</v>
      </c>
      <c r="AC27" s="221">
        <v>1</v>
      </c>
      <c r="AD27" s="221">
        <v>1</v>
      </c>
      <c r="AE27" s="221">
        <v>2</v>
      </c>
      <c r="AF27" s="146">
        <f t="shared" si="3"/>
        <v>32400000</v>
      </c>
      <c r="AG27" s="221">
        <v>16200000</v>
      </c>
      <c r="AH27" s="221">
        <v>1</v>
      </c>
      <c r="AI27" s="221">
        <v>1</v>
      </c>
      <c r="AJ27" s="221">
        <v>1</v>
      </c>
      <c r="AK27" s="221">
        <v>2</v>
      </c>
      <c r="AL27" s="146">
        <f t="shared" si="4"/>
        <v>32400000</v>
      </c>
    </row>
    <row r="28" spans="1:38" ht="45">
      <c r="A28" s="212" t="s">
        <v>125</v>
      </c>
      <c r="B28" s="212" t="s">
        <v>89</v>
      </c>
      <c r="C28" s="141"/>
      <c r="D28" s="222" t="s">
        <v>323</v>
      </c>
      <c r="E28" s="214" t="s">
        <v>562</v>
      </c>
      <c r="F28" s="226" t="s">
        <v>485</v>
      </c>
      <c r="G28" s="217" t="s">
        <v>322</v>
      </c>
      <c r="H28" s="219" t="s">
        <v>529</v>
      </c>
      <c r="I28" s="231">
        <v>578333</v>
      </c>
      <c r="J28" s="231">
        <v>30</v>
      </c>
      <c r="K28" s="231">
        <v>5</v>
      </c>
      <c r="L28" s="231">
        <v>1</v>
      </c>
      <c r="M28" s="231">
        <v>30</v>
      </c>
      <c r="N28" s="146">
        <f t="shared" si="0"/>
        <v>2602498500</v>
      </c>
      <c r="O28" s="231">
        <v>578333</v>
      </c>
      <c r="P28" s="231">
        <v>30</v>
      </c>
      <c r="Q28" s="231">
        <v>5</v>
      </c>
      <c r="R28" s="231">
        <v>1</v>
      </c>
      <c r="S28" s="231">
        <v>30</v>
      </c>
      <c r="T28" s="146">
        <f t="shared" si="1"/>
        <v>2602498500</v>
      </c>
      <c r="U28" s="231">
        <v>578333</v>
      </c>
      <c r="V28" s="231">
        <v>30</v>
      </c>
      <c r="W28" s="231">
        <v>5</v>
      </c>
      <c r="X28" s="231">
        <v>1</v>
      </c>
      <c r="Y28" s="231">
        <v>30</v>
      </c>
      <c r="Z28" s="146">
        <f t="shared" si="2"/>
        <v>2602498500</v>
      </c>
      <c r="AA28" s="231">
        <v>578333</v>
      </c>
      <c r="AB28" s="231">
        <v>30</v>
      </c>
      <c r="AC28" s="231">
        <v>5</v>
      </c>
      <c r="AD28" s="231">
        <v>1</v>
      </c>
      <c r="AE28" s="231">
        <v>30</v>
      </c>
      <c r="AF28" s="146">
        <f t="shared" si="3"/>
        <v>2602498500</v>
      </c>
      <c r="AG28" s="231">
        <v>578333</v>
      </c>
      <c r="AH28" s="231">
        <v>30</v>
      </c>
      <c r="AI28" s="231">
        <v>5</v>
      </c>
      <c r="AJ28" s="231">
        <v>1</v>
      </c>
      <c r="AK28" s="231">
        <v>30</v>
      </c>
      <c r="AL28" s="146">
        <f t="shared" si="4"/>
        <v>2602498500</v>
      </c>
    </row>
    <row r="29" spans="1:38" ht="45">
      <c r="A29" s="212" t="s">
        <v>125</v>
      </c>
      <c r="B29" s="212" t="s">
        <v>89</v>
      </c>
      <c r="C29" s="141"/>
      <c r="D29" s="222" t="s">
        <v>323</v>
      </c>
      <c r="E29" s="214" t="s">
        <v>341</v>
      </c>
      <c r="F29" s="226" t="s">
        <v>482</v>
      </c>
      <c r="G29" s="217" t="s">
        <v>322</v>
      </c>
      <c r="H29" s="219" t="s">
        <v>532</v>
      </c>
      <c r="I29" s="221">
        <v>4360499</v>
      </c>
      <c r="J29" s="231">
        <v>36</v>
      </c>
      <c r="K29" s="231">
        <v>5</v>
      </c>
      <c r="L29" s="231">
        <v>1</v>
      </c>
      <c r="M29" s="231">
        <v>1</v>
      </c>
      <c r="N29" s="146">
        <f t="shared" si="0"/>
        <v>784889820</v>
      </c>
      <c r="O29" s="221">
        <v>4360499</v>
      </c>
      <c r="P29" s="231">
        <v>36</v>
      </c>
      <c r="Q29" s="231">
        <v>5</v>
      </c>
      <c r="R29" s="231">
        <v>1</v>
      </c>
      <c r="S29" s="231">
        <v>1</v>
      </c>
      <c r="T29" s="146">
        <f t="shared" si="1"/>
        <v>784889820</v>
      </c>
      <c r="U29" s="221">
        <v>4360499</v>
      </c>
      <c r="V29" s="231">
        <v>36</v>
      </c>
      <c r="W29" s="231">
        <v>5</v>
      </c>
      <c r="X29" s="231">
        <v>1</v>
      </c>
      <c r="Y29" s="231">
        <v>1</v>
      </c>
      <c r="Z29" s="146">
        <f t="shared" si="2"/>
        <v>784889820</v>
      </c>
      <c r="AA29" s="221">
        <v>4360499</v>
      </c>
      <c r="AB29" s="231">
        <v>36</v>
      </c>
      <c r="AC29" s="231">
        <v>5</v>
      </c>
      <c r="AD29" s="231">
        <v>1</v>
      </c>
      <c r="AE29" s="231">
        <v>1</v>
      </c>
      <c r="AF29" s="146">
        <f t="shared" si="3"/>
        <v>784889820</v>
      </c>
      <c r="AG29" s="221">
        <v>4360499</v>
      </c>
      <c r="AH29" s="231">
        <v>36</v>
      </c>
      <c r="AI29" s="231">
        <v>5</v>
      </c>
      <c r="AJ29" s="231">
        <v>1</v>
      </c>
      <c r="AK29" s="231">
        <v>1</v>
      </c>
      <c r="AL29" s="146">
        <f t="shared" si="4"/>
        <v>784889820</v>
      </c>
    </row>
    <row r="30" spans="1:38" ht="45">
      <c r="A30" s="212" t="s">
        <v>125</v>
      </c>
      <c r="B30" s="212" t="s">
        <v>89</v>
      </c>
      <c r="C30" s="141"/>
      <c r="D30" s="222" t="s">
        <v>323</v>
      </c>
      <c r="E30" s="214" t="s">
        <v>342</v>
      </c>
      <c r="F30" s="226" t="s">
        <v>486</v>
      </c>
      <c r="G30" s="217" t="s">
        <v>322</v>
      </c>
      <c r="H30" s="219" t="s">
        <v>532</v>
      </c>
      <c r="I30" s="231">
        <v>621924</v>
      </c>
      <c r="J30" s="231">
        <v>13</v>
      </c>
      <c r="K30" s="231">
        <v>5</v>
      </c>
      <c r="L30" s="231">
        <v>1</v>
      </c>
      <c r="M30" s="231">
        <v>1</v>
      </c>
      <c r="N30" s="146">
        <f t="shared" si="0"/>
        <v>40425060</v>
      </c>
      <c r="O30" s="231">
        <v>621924</v>
      </c>
      <c r="P30" s="231">
        <v>13</v>
      </c>
      <c r="Q30" s="231">
        <v>5</v>
      </c>
      <c r="R30" s="231">
        <v>1</v>
      </c>
      <c r="S30" s="231">
        <v>1</v>
      </c>
      <c r="T30" s="146">
        <f t="shared" si="1"/>
        <v>40425060</v>
      </c>
      <c r="U30" s="231">
        <v>621924</v>
      </c>
      <c r="V30" s="231">
        <v>13</v>
      </c>
      <c r="W30" s="231">
        <v>5</v>
      </c>
      <c r="X30" s="231">
        <v>1</v>
      </c>
      <c r="Y30" s="231">
        <v>1</v>
      </c>
      <c r="Z30" s="146">
        <f t="shared" si="2"/>
        <v>40425060</v>
      </c>
      <c r="AA30" s="231">
        <v>621924</v>
      </c>
      <c r="AB30" s="231">
        <v>13</v>
      </c>
      <c r="AC30" s="231">
        <v>5</v>
      </c>
      <c r="AD30" s="231">
        <v>1</v>
      </c>
      <c r="AE30" s="231">
        <v>1</v>
      </c>
      <c r="AF30" s="146">
        <f t="shared" si="3"/>
        <v>40425060</v>
      </c>
      <c r="AG30" s="231">
        <v>621924</v>
      </c>
      <c r="AH30" s="231">
        <v>13</v>
      </c>
      <c r="AI30" s="231">
        <v>5</v>
      </c>
      <c r="AJ30" s="231">
        <v>1</v>
      </c>
      <c r="AK30" s="231">
        <v>1</v>
      </c>
      <c r="AL30" s="146">
        <f t="shared" si="4"/>
        <v>40425060</v>
      </c>
    </row>
    <row r="31" spans="1:38" ht="56.25">
      <c r="A31" s="212" t="s">
        <v>125</v>
      </c>
      <c r="B31" s="212" t="s">
        <v>89</v>
      </c>
      <c r="C31" s="141"/>
      <c r="D31" s="222" t="s">
        <v>323</v>
      </c>
      <c r="E31" s="214" t="s">
        <v>563</v>
      </c>
      <c r="F31" s="226" t="s">
        <v>483</v>
      </c>
      <c r="G31" s="217" t="s">
        <v>322</v>
      </c>
      <c r="H31" s="219" t="s">
        <v>532</v>
      </c>
      <c r="I31" s="231">
        <v>502763</v>
      </c>
      <c r="J31" s="231">
        <v>23</v>
      </c>
      <c r="K31" s="231">
        <v>7</v>
      </c>
      <c r="L31" s="231">
        <v>1</v>
      </c>
      <c r="M31" s="231">
        <v>1</v>
      </c>
      <c r="N31" s="146">
        <f t="shared" si="0"/>
        <v>80944843</v>
      </c>
      <c r="O31" s="231">
        <v>502763</v>
      </c>
      <c r="P31" s="231">
        <v>23</v>
      </c>
      <c r="Q31" s="231">
        <v>7</v>
      </c>
      <c r="R31" s="231">
        <v>1</v>
      </c>
      <c r="S31" s="231">
        <v>1</v>
      </c>
      <c r="T31" s="146">
        <f t="shared" si="1"/>
        <v>80944843</v>
      </c>
      <c r="U31" s="231">
        <v>502763</v>
      </c>
      <c r="V31" s="231">
        <v>23</v>
      </c>
      <c r="W31" s="231">
        <v>7</v>
      </c>
      <c r="X31" s="231">
        <v>1</v>
      </c>
      <c r="Y31" s="231">
        <v>1</v>
      </c>
      <c r="Z31" s="146">
        <f t="shared" si="2"/>
        <v>80944843</v>
      </c>
      <c r="AA31" s="231">
        <v>502763</v>
      </c>
      <c r="AB31" s="231">
        <v>23</v>
      </c>
      <c r="AC31" s="231">
        <v>7</v>
      </c>
      <c r="AD31" s="231">
        <v>1</v>
      </c>
      <c r="AE31" s="231">
        <v>1</v>
      </c>
      <c r="AF31" s="146">
        <f t="shared" si="3"/>
        <v>80944843</v>
      </c>
      <c r="AG31" s="231">
        <v>502763</v>
      </c>
      <c r="AH31" s="231">
        <v>23</v>
      </c>
      <c r="AI31" s="231">
        <v>7</v>
      </c>
      <c r="AJ31" s="231">
        <v>1</v>
      </c>
      <c r="AK31" s="231">
        <v>1</v>
      </c>
      <c r="AL31" s="146">
        <f t="shared" si="4"/>
        <v>80944843</v>
      </c>
    </row>
    <row r="32" spans="1:38" ht="45">
      <c r="A32" s="212" t="s">
        <v>125</v>
      </c>
      <c r="B32" s="212" t="s">
        <v>89</v>
      </c>
      <c r="C32" s="141"/>
      <c r="D32" s="222" t="s">
        <v>323</v>
      </c>
      <c r="E32" s="214" t="s">
        <v>343</v>
      </c>
      <c r="F32" s="226" t="s">
        <v>483</v>
      </c>
      <c r="G32" s="217" t="s">
        <v>322</v>
      </c>
      <c r="H32" s="219" t="s">
        <v>532</v>
      </c>
      <c r="I32" s="231">
        <v>607337</v>
      </c>
      <c r="J32" s="231">
        <v>11</v>
      </c>
      <c r="K32" s="231">
        <v>7</v>
      </c>
      <c r="L32" s="231">
        <v>1</v>
      </c>
      <c r="M32" s="231">
        <v>1</v>
      </c>
      <c r="N32" s="146">
        <f t="shared" si="0"/>
        <v>46764949</v>
      </c>
      <c r="O32" s="231">
        <v>607337</v>
      </c>
      <c r="P32" s="231">
        <v>11</v>
      </c>
      <c r="Q32" s="231">
        <v>7</v>
      </c>
      <c r="R32" s="231">
        <v>1</v>
      </c>
      <c r="S32" s="231">
        <v>1</v>
      </c>
      <c r="T32" s="146">
        <f t="shared" si="1"/>
        <v>46764949</v>
      </c>
      <c r="U32" s="231">
        <v>607337</v>
      </c>
      <c r="V32" s="231">
        <v>11</v>
      </c>
      <c r="W32" s="231">
        <v>7</v>
      </c>
      <c r="X32" s="231">
        <v>1</v>
      </c>
      <c r="Y32" s="231">
        <v>1</v>
      </c>
      <c r="Z32" s="146">
        <f t="shared" si="2"/>
        <v>46764949</v>
      </c>
      <c r="AA32" s="231">
        <v>607337</v>
      </c>
      <c r="AB32" s="231">
        <v>11</v>
      </c>
      <c r="AC32" s="231">
        <v>7</v>
      </c>
      <c r="AD32" s="231">
        <v>1</v>
      </c>
      <c r="AE32" s="231">
        <v>1</v>
      </c>
      <c r="AF32" s="146">
        <f t="shared" si="3"/>
        <v>46764949</v>
      </c>
      <c r="AG32" s="231">
        <v>607337</v>
      </c>
      <c r="AH32" s="231">
        <v>11</v>
      </c>
      <c r="AI32" s="231">
        <v>7</v>
      </c>
      <c r="AJ32" s="231">
        <v>1</v>
      </c>
      <c r="AK32" s="231">
        <v>1</v>
      </c>
      <c r="AL32" s="146">
        <f t="shared" si="4"/>
        <v>46764949</v>
      </c>
    </row>
    <row r="33" spans="1:38" ht="45">
      <c r="A33" s="212" t="s">
        <v>125</v>
      </c>
      <c r="B33" s="212" t="s">
        <v>89</v>
      </c>
      <c r="C33" s="141"/>
      <c r="D33" s="222" t="s">
        <v>323</v>
      </c>
      <c r="E33" s="214" t="s">
        <v>344</v>
      </c>
      <c r="F33" s="215" t="s">
        <v>481</v>
      </c>
      <c r="G33" s="217" t="s">
        <v>322</v>
      </c>
      <c r="H33" s="219" t="s">
        <v>532</v>
      </c>
      <c r="I33" s="145">
        <v>546667</v>
      </c>
      <c r="J33" s="145">
        <v>60</v>
      </c>
      <c r="K33" s="145">
        <v>5</v>
      </c>
      <c r="L33" s="145">
        <v>1</v>
      </c>
      <c r="M33" s="145">
        <v>1</v>
      </c>
      <c r="N33" s="146">
        <f t="shared" si="0"/>
        <v>164000100</v>
      </c>
      <c r="O33" s="145">
        <v>546667</v>
      </c>
      <c r="P33" s="145">
        <v>60</v>
      </c>
      <c r="Q33" s="145">
        <v>5</v>
      </c>
      <c r="R33" s="145">
        <v>1</v>
      </c>
      <c r="S33" s="145">
        <v>1</v>
      </c>
      <c r="T33" s="146">
        <f t="shared" si="1"/>
        <v>164000100</v>
      </c>
      <c r="U33" s="145">
        <v>546667</v>
      </c>
      <c r="V33" s="145">
        <v>60</v>
      </c>
      <c r="W33" s="145">
        <v>5</v>
      </c>
      <c r="X33" s="145">
        <v>1</v>
      </c>
      <c r="Y33" s="145">
        <v>1</v>
      </c>
      <c r="Z33" s="146">
        <f t="shared" si="2"/>
        <v>164000100</v>
      </c>
      <c r="AA33" s="145">
        <v>546667</v>
      </c>
      <c r="AB33" s="145">
        <v>60</v>
      </c>
      <c r="AC33" s="145">
        <v>5</v>
      </c>
      <c r="AD33" s="145">
        <v>1</v>
      </c>
      <c r="AE33" s="145">
        <v>1</v>
      </c>
      <c r="AF33" s="146">
        <f t="shared" si="3"/>
        <v>164000100</v>
      </c>
      <c r="AG33" s="145">
        <v>546667</v>
      </c>
      <c r="AH33" s="145">
        <v>60</v>
      </c>
      <c r="AI33" s="145">
        <v>5</v>
      </c>
      <c r="AJ33" s="145">
        <v>1</v>
      </c>
      <c r="AK33" s="145">
        <v>1</v>
      </c>
      <c r="AL33" s="146">
        <f t="shared" si="4"/>
        <v>164000100</v>
      </c>
    </row>
    <row r="34" spans="1:38" ht="45">
      <c r="A34" s="212" t="s">
        <v>125</v>
      </c>
      <c r="B34" s="212" t="s">
        <v>89</v>
      </c>
      <c r="C34" s="141"/>
      <c r="D34" s="222" t="s">
        <v>345</v>
      </c>
      <c r="E34" s="214" t="s">
        <v>346</v>
      </c>
      <c r="F34" s="226" t="s">
        <v>495</v>
      </c>
      <c r="G34" s="217" t="s">
        <v>322</v>
      </c>
      <c r="H34" s="219" t="s">
        <v>533</v>
      </c>
      <c r="I34" s="231">
        <v>1300000</v>
      </c>
      <c r="J34" s="231">
        <v>2</v>
      </c>
      <c r="K34" s="231">
        <v>3</v>
      </c>
      <c r="L34" s="231">
        <v>1</v>
      </c>
      <c r="M34" s="231">
        <v>1</v>
      </c>
      <c r="N34" s="146">
        <f t="shared" si="0"/>
        <v>7800000</v>
      </c>
      <c r="O34" s="231">
        <v>1300000</v>
      </c>
      <c r="P34" s="231">
        <v>2</v>
      </c>
      <c r="Q34" s="231">
        <v>3</v>
      </c>
      <c r="R34" s="231">
        <v>1</v>
      </c>
      <c r="S34" s="231">
        <v>1</v>
      </c>
      <c r="T34" s="146">
        <f t="shared" si="1"/>
        <v>7800000</v>
      </c>
      <c r="U34" s="231">
        <v>1300000</v>
      </c>
      <c r="V34" s="231">
        <v>2</v>
      </c>
      <c r="W34" s="231">
        <v>3</v>
      </c>
      <c r="X34" s="231">
        <v>1</v>
      </c>
      <c r="Y34" s="231">
        <v>1</v>
      </c>
      <c r="Z34" s="146">
        <f t="shared" si="2"/>
        <v>7800000</v>
      </c>
      <c r="AA34" s="231">
        <v>1300000</v>
      </c>
      <c r="AB34" s="231">
        <v>2</v>
      </c>
      <c r="AC34" s="231">
        <v>3</v>
      </c>
      <c r="AD34" s="231">
        <v>1</v>
      </c>
      <c r="AE34" s="231">
        <v>1</v>
      </c>
      <c r="AF34" s="146">
        <f t="shared" si="3"/>
        <v>7800000</v>
      </c>
      <c r="AG34" s="231">
        <v>1300000</v>
      </c>
      <c r="AH34" s="231">
        <v>2</v>
      </c>
      <c r="AI34" s="231">
        <v>3</v>
      </c>
      <c r="AJ34" s="231">
        <v>1</v>
      </c>
      <c r="AK34" s="231">
        <v>1</v>
      </c>
      <c r="AL34" s="146">
        <f t="shared" si="4"/>
        <v>7800000</v>
      </c>
    </row>
    <row r="35" spans="1:38" ht="45">
      <c r="A35" s="212" t="s">
        <v>125</v>
      </c>
      <c r="B35" s="212" t="s">
        <v>89</v>
      </c>
      <c r="C35" s="141"/>
      <c r="D35" s="222" t="s">
        <v>345</v>
      </c>
      <c r="E35" s="214" t="s">
        <v>347</v>
      </c>
      <c r="F35" s="226" t="s">
        <v>486</v>
      </c>
      <c r="G35" s="217" t="s">
        <v>322</v>
      </c>
      <c r="H35" s="219" t="s">
        <v>533</v>
      </c>
      <c r="I35" s="231">
        <v>4335000</v>
      </c>
      <c r="J35" s="231">
        <v>4</v>
      </c>
      <c r="K35" s="231">
        <v>20</v>
      </c>
      <c r="L35" s="231">
        <v>1</v>
      </c>
      <c r="M35" s="231">
        <v>1</v>
      </c>
      <c r="N35" s="107">
        <f t="shared" si="0"/>
        <v>346800000</v>
      </c>
      <c r="O35" s="231">
        <v>4335000</v>
      </c>
      <c r="P35" s="231">
        <v>4</v>
      </c>
      <c r="Q35" s="231">
        <v>20</v>
      </c>
      <c r="R35" s="231">
        <v>1</v>
      </c>
      <c r="S35" s="231">
        <v>1</v>
      </c>
      <c r="T35" s="107">
        <f t="shared" si="1"/>
        <v>346800000</v>
      </c>
      <c r="U35" s="231">
        <v>4335000</v>
      </c>
      <c r="V35" s="231">
        <v>4</v>
      </c>
      <c r="W35" s="231">
        <v>20</v>
      </c>
      <c r="X35" s="231">
        <v>1</v>
      </c>
      <c r="Y35" s="231">
        <v>1</v>
      </c>
      <c r="Z35" s="107">
        <f t="shared" si="2"/>
        <v>346800000</v>
      </c>
      <c r="AA35" s="231">
        <v>4335000</v>
      </c>
      <c r="AB35" s="231">
        <v>4</v>
      </c>
      <c r="AC35" s="231">
        <v>20</v>
      </c>
      <c r="AD35" s="231">
        <v>1</v>
      </c>
      <c r="AE35" s="231">
        <v>1</v>
      </c>
      <c r="AF35" s="107">
        <f t="shared" si="3"/>
        <v>346800000</v>
      </c>
      <c r="AG35" s="231">
        <v>4335000</v>
      </c>
      <c r="AH35" s="231">
        <v>4</v>
      </c>
      <c r="AI35" s="231">
        <v>20</v>
      </c>
      <c r="AJ35" s="231">
        <v>1</v>
      </c>
      <c r="AK35" s="231">
        <v>1</v>
      </c>
      <c r="AL35" s="107">
        <f t="shared" si="4"/>
        <v>346800000</v>
      </c>
    </row>
    <row r="36" spans="1:38" ht="22.5">
      <c r="A36" s="212" t="s">
        <v>125</v>
      </c>
      <c r="B36" s="212" t="s">
        <v>89</v>
      </c>
      <c r="C36" s="141"/>
      <c r="D36" s="338" t="s">
        <v>345</v>
      </c>
      <c r="E36" s="214" t="s">
        <v>348</v>
      </c>
      <c r="F36" s="226" t="s">
        <v>495</v>
      </c>
      <c r="G36" s="217" t="s">
        <v>322</v>
      </c>
      <c r="H36" s="219" t="s">
        <v>565</v>
      </c>
      <c r="I36" s="231">
        <v>1650000</v>
      </c>
      <c r="J36" s="231">
        <v>400</v>
      </c>
      <c r="K36" s="231">
        <v>12</v>
      </c>
      <c r="L36" s="231">
        <v>1</v>
      </c>
      <c r="M36" s="231">
        <v>1</v>
      </c>
      <c r="N36" s="107">
        <f t="shared" si="0"/>
        <v>7920000000</v>
      </c>
      <c r="O36" s="231">
        <v>1650000</v>
      </c>
      <c r="P36" s="231">
        <v>400</v>
      </c>
      <c r="Q36" s="231">
        <v>12</v>
      </c>
      <c r="R36" s="231">
        <v>1</v>
      </c>
      <c r="S36" s="231">
        <v>1</v>
      </c>
      <c r="T36" s="107">
        <f t="shared" si="1"/>
        <v>7920000000</v>
      </c>
      <c r="U36" s="231">
        <v>1650000</v>
      </c>
      <c r="V36" s="231">
        <v>400</v>
      </c>
      <c r="W36" s="231">
        <v>12</v>
      </c>
      <c r="X36" s="231">
        <v>1</v>
      </c>
      <c r="Y36" s="231">
        <v>1</v>
      </c>
      <c r="Z36" s="107">
        <f t="shared" si="2"/>
        <v>7920000000</v>
      </c>
      <c r="AA36" s="231">
        <v>1650000</v>
      </c>
      <c r="AB36" s="231">
        <v>400</v>
      </c>
      <c r="AC36" s="231">
        <v>12</v>
      </c>
      <c r="AD36" s="231">
        <v>1</v>
      </c>
      <c r="AE36" s="231">
        <v>1</v>
      </c>
      <c r="AF36" s="107">
        <f t="shared" si="3"/>
        <v>7920000000</v>
      </c>
      <c r="AG36" s="231">
        <v>1650000</v>
      </c>
      <c r="AH36" s="231">
        <v>400</v>
      </c>
      <c r="AI36" s="231">
        <v>12</v>
      </c>
      <c r="AJ36" s="231">
        <v>1</v>
      </c>
      <c r="AK36" s="231">
        <v>1</v>
      </c>
      <c r="AL36" s="107">
        <f t="shared" si="4"/>
        <v>7920000000</v>
      </c>
    </row>
    <row r="37" spans="1:38" ht="22.5">
      <c r="A37" s="212" t="s">
        <v>134</v>
      </c>
      <c r="B37" s="212" t="s">
        <v>89</v>
      </c>
      <c r="C37" s="141"/>
      <c r="D37" s="339"/>
      <c r="E37" s="214" t="s">
        <v>564</v>
      </c>
      <c r="F37" s="226"/>
      <c r="G37" s="217"/>
      <c r="H37" s="219" t="s">
        <v>566</v>
      </c>
      <c r="I37" s="231">
        <v>5830000</v>
      </c>
      <c r="J37" s="231">
        <v>4</v>
      </c>
      <c r="K37" s="231">
        <v>20</v>
      </c>
      <c r="L37" s="231">
        <v>1</v>
      </c>
      <c r="M37" s="231">
        <v>1</v>
      </c>
      <c r="N37" s="107">
        <f t="shared" si="0"/>
        <v>466400000</v>
      </c>
      <c r="O37" s="231">
        <v>5830000</v>
      </c>
      <c r="P37" s="231">
        <v>4</v>
      </c>
      <c r="Q37" s="231">
        <v>20</v>
      </c>
      <c r="R37" s="231">
        <v>1</v>
      </c>
      <c r="S37" s="231">
        <v>1</v>
      </c>
      <c r="T37" s="107">
        <f t="shared" si="1"/>
        <v>466400000</v>
      </c>
      <c r="U37" s="231">
        <v>5830000</v>
      </c>
      <c r="V37" s="231">
        <v>4</v>
      </c>
      <c r="W37" s="231">
        <v>20</v>
      </c>
      <c r="X37" s="231">
        <v>1</v>
      </c>
      <c r="Y37" s="231">
        <v>1</v>
      </c>
      <c r="Z37" s="107">
        <f t="shared" si="2"/>
        <v>466400000</v>
      </c>
      <c r="AA37" s="231">
        <v>5830000</v>
      </c>
      <c r="AB37" s="231">
        <v>4</v>
      </c>
      <c r="AC37" s="231">
        <v>20</v>
      </c>
      <c r="AD37" s="231">
        <v>1</v>
      </c>
      <c r="AE37" s="231">
        <v>1</v>
      </c>
      <c r="AF37" s="107">
        <f t="shared" si="3"/>
        <v>466400000</v>
      </c>
      <c r="AG37" s="231">
        <v>5830000</v>
      </c>
      <c r="AH37" s="231">
        <v>4</v>
      </c>
      <c r="AI37" s="231">
        <v>20</v>
      </c>
      <c r="AJ37" s="231">
        <v>1</v>
      </c>
      <c r="AK37" s="231">
        <v>1</v>
      </c>
      <c r="AL37" s="107">
        <f t="shared" si="4"/>
        <v>466400000</v>
      </c>
    </row>
    <row r="38" spans="1:38" ht="45">
      <c r="A38" s="212" t="s">
        <v>125</v>
      </c>
      <c r="B38" s="212" t="s">
        <v>89</v>
      </c>
      <c r="C38" s="141"/>
      <c r="D38" s="222" t="s">
        <v>345</v>
      </c>
      <c r="E38" s="214" t="s">
        <v>349</v>
      </c>
      <c r="F38" s="226" t="s">
        <v>483</v>
      </c>
      <c r="G38" s="217" t="s">
        <v>322</v>
      </c>
      <c r="H38" s="219" t="s">
        <v>534</v>
      </c>
      <c r="I38" s="231">
        <v>1778000</v>
      </c>
      <c r="J38" s="231">
        <v>4</v>
      </c>
      <c r="K38" s="231">
        <v>5</v>
      </c>
      <c r="L38" s="231">
        <v>1</v>
      </c>
      <c r="M38" s="231">
        <v>1</v>
      </c>
      <c r="N38" s="107">
        <f t="shared" si="0"/>
        <v>35560000</v>
      </c>
      <c r="O38" s="231">
        <v>1778000</v>
      </c>
      <c r="P38" s="231">
        <v>4</v>
      </c>
      <c r="Q38" s="231">
        <v>5</v>
      </c>
      <c r="R38" s="231">
        <v>1</v>
      </c>
      <c r="S38" s="231">
        <v>1</v>
      </c>
      <c r="T38" s="107">
        <f t="shared" si="1"/>
        <v>35560000</v>
      </c>
      <c r="U38" s="231">
        <v>1778000</v>
      </c>
      <c r="V38" s="231">
        <v>4</v>
      </c>
      <c r="W38" s="231">
        <v>5</v>
      </c>
      <c r="X38" s="231">
        <v>1</v>
      </c>
      <c r="Y38" s="231">
        <v>1</v>
      </c>
      <c r="Z38" s="107">
        <f t="shared" si="2"/>
        <v>35560000</v>
      </c>
      <c r="AA38" s="231">
        <v>1778000</v>
      </c>
      <c r="AB38" s="231">
        <v>4</v>
      </c>
      <c r="AC38" s="231">
        <v>5</v>
      </c>
      <c r="AD38" s="231">
        <v>1</v>
      </c>
      <c r="AE38" s="231">
        <v>1</v>
      </c>
      <c r="AF38" s="107">
        <f t="shared" si="3"/>
        <v>35560000</v>
      </c>
      <c r="AG38" s="231">
        <v>1778000</v>
      </c>
      <c r="AH38" s="231">
        <v>4</v>
      </c>
      <c r="AI38" s="231">
        <v>5</v>
      </c>
      <c r="AJ38" s="231">
        <v>1</v>
      </c>
      <c r="AK38" s="231">
        <v>1</v>
      </c>
      <c r="AL38" s="107">
        <f t="shared" si="4"/>
        <v>35560000</v>
      </c>
    </row>
    <row r="39" spans="1:38" ht="45">
      <c r="A39" s="212" t="s">
        <v>125</v>
      </c>
      <c r="B39" s="212" t="s">
        <v>89</v>
      </c>
      <c r="C39" s="141"/>
      <c r="D39" s="222" t="s">
        <v>345</v>
      </c>
      <c r="E39" s="214" t="s">
        <v>567</v>
      </c>
      <c r="F39" s="226" t="s">
        <v>486</v>
      </c>
      <c r="G39" s="217" t="s">
        <v>322</v>
      </c>
      <c r="H39" s="219" t="s">
        <v>533</v>
      </c>
      <c r="I39" s="231">
        <v>17365333</v>
      </c>
      <c r="J39" s="231">
        <v>4</v>
      </c>
      <c r="K39" s="231">
        <v>15</v>
      </c>
      <c r="L39" s="231">
        <v>1</v>
      </c>
      <c r="M39" s="231">
        <v>1</v>
      </c>
      <c r="N39" s="107">
        <f>PRODUCT(I39:M39)</f>
        <v>1041919980</v>
      </c>
      <c r="O39" s="231">
        <v>17365333</v>
      </c>
      <c r="P39" s="231">
        <v>4</v>
      </c>
      <c r="Q39" s="231">
        <v>15</v>
      </c>
      <c r="R39" s="231">
        <v>1</v>
      </c>
      <c r="S39" s="231">
        <v>1</v>
      </c>
      <c r="T39" s="107">
        <f t="shared" si="1"/>
        <v>1041919980</v>
      </c>
      <c r="U39" s="231">
        <v>17365333</v>
      </c>
      <c r="V39" s="231">
        <v>4</v>
      </c>
      <c r="W39" s="231">
        <v>15</v>
      </c>
      <c r="X39" s="231">
        <v>1</v>
      </c>
      <c r="Y39" s="231">
        <v>1</v>
      </c>
      <c r="Z39" s="107">
        <f t="shared" si="2"/>
        <v>1041919980</v>
      </c>
      <c r="AA39" s="231">
        <v>17365333</v>
      </c>
      <c r="AB39" s="231">
        <v>4</v>
      </c>
      <c r="AC39" s="231">
        <v>15</v>
      </c>
      <c r="AD39" s="231">
        <v>1</v>
      </c>
      <c r="AE39" s="231">
        <v>1</v>
      </c>
      <c r="AF39" s="107">
        <f t="shared" si="3"/>
        <v>1041919980</v>
      </c>
      <c r="AG39" s="231">
        <v>17365333</v>
      </c>
      <c r="AH39" s="231">
        <v>4</v>
      </c>
      <c r="AI39" s="231">
        <v>15</v>
      </c>
      <c r="AJ39" s="231">
        <v>1</v>
      </c>
      <c r="AK39" s="231">
        <v>1</v>
      </c>
      <c r="AL39" s="107">
        <f t="shared" si="4"/>
        <v>1041919980</v>
      </c>
    </row>
    <row r="40" spans="1:38" ht="56.25">
      <c r="A40" s="212" t="s">
        <v>125</v>
      </c>
      <c r="B40" s="212" t="s">
        <v>89</v>
      </c>
      <c r="C40" s="141"/>
      <c r="D40" s="222" t="s">
        <v>345</v>
      </c>
      <c r="E40" s="214" t="s">
        <v>591</v>
      </c>
      <c r="F40" s="226" t="s">
        <v>483</v>
      </c>
      <c r="G40" s="217" t="s">
        <v>322</v>
      </c>
      <c r="H40" s="219" t="s">
        <v>535</v>
      </c>
      <c r="I40" s="231">
        <v>553714</v>
      </c>
      <c r="J40" s="231">
        <v>5</v>
      </c>
      <c r="K40" s="231">
        <v>7</v>
      </c>
      <c r="L40" s="231">
        <v>1</v>
      </c>
      <c r="M40" s="231">
        <v>1</v>
      </c>
      <c r="N40" s="107">
        <f t="shared" si="0"/>
        <v>19379990</v>
      </c>
      <c r="O40" s="231">
        <v>553714</v>
      </c>
      <c r="P40" s="231">
        <v>5</v>
      </c>
      <c r="Q40" s="231">
        <v>7</v>
      </c>
      <c r="R40" s="231">
        <v>1</v>
      </c>
      <c r="S40" s="231">
        <v>1</v>
      </c>
      <c r="T40" s="107">
        <f t="shared" si="1"/>
        <v>19379990</v>
      </c>
      <c r="U40" s="231">
        <v>553714</v>
      </c>
      <c r="V40" s="231">
        <v>5</v>
      </c>
      <c r="W40" s="231">
        <v>7</v>
      </c>
      <c r="X40" s="231">
        <v>1</v>
      </c>
      <c r="Y40" s="231">
        <v>1</v>
      </c>
      <c r="Z40" s="107">
        <f t="shared" si="2"/>
        <v>19379990</v>
      </c>
      <c r="AA40" s="231">
        <v>553714</v>
      </c>
      <c r="AB40" s="231">
        <v>5</v>
      </c>
      <c r="AC40" s="231">
        <v>7</v>
      </c>
      <c r="AD40" s="231">
        <v>1</v>
      </c>
      <c r="AE40" s="231">
        <v>1</v>
      </c>
      <c r="AF40" s="107">
        <f t="shared" si="3"/>
        <v>19379990</v>
      </c>
      <c r="AG40" s="231">
        <v>553714</v>
      </c>
      <c r="AH40" s="231">
        <v>5</v>
      </c>
      <c r="AI40" s="231">
        <v>7</v>
      </c>
      <c r="AJ40" s="231">
        <v>1</v>
      </c>
      <c r="AK40" s="231">
        <v>1</v>
      </c>
      <c r="AL40" s="107">
        <f t="shared" si="4"/>
        <v>19379990</v>
      </c>
    </row>
    <row r="41" spans="1:38" ht="45">
      <c r="A41" s="212" t="s">
        <v>125</v>
      </c>
      <c r="B41" s="212" t="s">
        <v>89</v>
      </c>
      <c r="C41" s="141"/>
      <c r="D41" s="222" t="s">
        <v>345</v>
      </c>
      <c r="E41" s="214" t="s">
        <v>575</v>
      </c>
      <c r="F41" s="226" t="s">
        <v>483</v>
      </c>
      <c r="G41" s="217" t="s">
        <v>322</v>
      </c>
      <c r="H41" s="219" t="s">
        <v>535</v>
      </c>
      <c r="I41" s="231">
        <v>451200</v>
      </c>
      <c r="J41" s="231">
        <v>5</v>
      </c>
      <c r="K41" s="231">
        <v>30</v>
      </c>
      <c r="L41" s="231">
        <v>1</v>
      </c>
      <c r="M41" s="231">
        <v>1</v>
      </c>
      <c r="N41" s="146">
        <f t="shared" si="0"/>
        <v>67680000</v>
      </c>
      <c r="O41" s="231">
        <v>451200</v>
      </c>
      <c r="P41" s="231">
        <v>5</v>
      </c>
      <c r="Q41" s="231">
        <v>30</v>
      </c>
      <c r="R41" s="231">
        <v>1</v>
      </c>
      <c r="S41" s="231">
        <v>1</v>
      </c>
      <c r="T41" s="107">
        <f t="shared" si="1"/>
        <v>67680000</v>
      </c>
      <c r="U41" s="231">
        <v>451200</v>
      </c>
      <c r="V41" s="231">
        <v>5</v>
      </c>
      <c r="W41" s="231">
        <v>30</v>
      </c>
      <c r="X41" s="231">
        <v>1</v>
      </c>
      <c r="Y41" s="231">
        <v>1</v>
      </c>
      <c r="Z41" s="107">
        <f t="shared" si="2"/>
        <v>67680000</v>
      </c>
      <c r="AA41" s="231">
        <v>451200</v>
      </c>
      <c r="AB41" s="231">
        <v>5</v>
      </c>
      <c r="AC41" s="231">
        <v>30</v>
      </c>
      <c r="AD41" s="231">
        <v>1</v>
      </c>
      <c r="AE41" s="231">
        <v>1</v>
      </c>
      <c r="AF41" s="107">
        <f t="shared" si="3"/>
        <v>67680000</v>
      </c>
      <c r="AG41" s="231">
        <v>451200</v>
      </c>
      <c r="AH41" s="231">
        <v>5</v>
      </c>
      <c r="AI41" s="231">
        <v>30</v>
      </c>
      <c r="AJ41" s="231">
        <v>1</v>
      </c>
      <c r="AK41" s="231">
        <v>1</v>
      </c>
      <c r="AL41" s="107">
        <f t="shared" si="4"/>
        <v>67680000</v>
      </c>
    </row>
    <row r="42" spans="1:38" ht="56.25">
      <c r="A42" s="212" t="s">
        <v>125</v>
      </c>
      <c r="B42" s="212" t="s">
        <v>89</v>
      </c>
      <c r="C42" s="141"/>
      <c r="D42" s="338" t="s">
        <v>345</v>
      </c>
      <c r="E42" s="214" t="s">
        <v>350</v>
      </c>
      <c r="F42" s="340" t="s">
        <v>568</v>
      </c>
      <c r="G42" s="217" t="s">
        <v>571</v>
      </c>
      <c r="H42" s="219" t="s">
        <v>535</v>
      </c>
      <c r="I42" s="231">
        <v>8990000</v>
      </c>
      <c r="J42" s="231">
        <v>4</v>
      </c>
      <c r="K42" s="231">
        <v>5</v>
      </c>
      <c r="L42" s="231">
        <v>1</v>
      </c>
      <c r="M42" s="231">
        <v>1</v>
      </c>
      <c r="N42" s="146">
        <f t="shared" si="0"/>
        <v>179800000</v>
      </c>
      <c r="O42" s="231">
        <v>8990000</v>
      </c>
      <c r="P42" s="231">
        <v>4</v>
      </c>
      <c r="Q42" s="231">
        <v>5</v>
      </c>
      <c r="R42" s="231">
        <v>1</v>
      </c>
      <c r="S42" s="231">
        <v>1</v>
      </c>
      <c r="T42" s="107">
        <f t="shared" si="1"/>
        <v>179800000</v>
      </c>
      <c r="U42" s="231">
        <v>8990000</v>
      </c>
      <c r="V42" s="231">
        <v>4</v>
      </c>
      <c r="W42" s="231">
        <v>5</v>
      </c>
      <c r="X42" s="231">
        <v>1</v>
      </c>
      <c r="Y42" s="231">
        <v>1</v>
      </c>
      <c r="Z42" s="107">
        <f t="shared" si="2"/>
        <v>179800000</v>
      </c>
      <c r="AA42" s="231">
        <v>8990000</v>
      </c>
      <c r="AB42" s="231">
        <v>4</v>
      </c>
      <c r="AC42" s="231">
        <v>5</v>
      </c>
      <c r="AD42" s="231">
        <v>1</v>
      </c>
      <c r="AE42" s="231">
        <v>1</v>
      </c>
      <c r="AF42" s="107">
        <f t="shared" si="3"/>
        <v>179800000</v>
      </c>
      <c r="AG42" s="231">
        <v>8990000</v>
      </c>
      <c r="AH42" s="231">
        <v>4</v>
      </c>
      <c r="AI42" s="231">
        <v>5</v>
      </c>
      <c r="AJ42" s="231">
        <v>1</v>
      </c>
      <c r="AK42" s="231">
        <v>1</v>
      </c>
      <c r="AL42" s="107">
        <f t="shared" si="4"/>
        <v>179800000</v>
      </c>
    </row>
    <row r="43" spans="1:38" ht="22.5">
      <c r="A43" s="212" t="s">
        <v>134</v>
      </c>
      <c r="B43" s="212" t="s">
        <v>89</v>
      </c>
      <c r="C43" s="141"/>
      <c r="D43" s="339"/>
      <c r="E43" s="214" t="s">
        <v>569</v>
      </c>
      <c r="F43" s="341"/>
      <c r="G43" s="217" t="s">
        <v>570</v>
      </c>
      <c r="H43" s="219" t="s">
        <v>572</v>
      </c>
      <c r="I43" s="231">
        <v>150000000</v>
      </c>
      <c r="J43" s="231">
        <v>4</v>
      </c>
      <c r="K43" s="231">
        <v>1</v>
      </c>
      <c r="L43" s="231">
        <v>1</v>
      </c>
      <c r="M43" s="231">
        <v>1</v>
      </c>
      <c r="N43" s="146">
        <f t="shared" si="0"/>
        <v>600000000</v>
      </c>
      <c r="O43" s="231">
        <v>150000000</v>
      </c>
      <c r="P43" s="231">
        <v>4</v>
      </c>
      <c r="Q43" s="231">
        <v>1</v>
      </c>
      <c r="R43" s="231">
        <v>1</v>
      </c>
      <c r="S43" s="231">
        <v>1</v>
      </c>
      <c r="T43" s="107">
        <f t="shared" si="1"/>
        <v>600000000</v>
      </c>
      <c r="U43" s="231">
        <v>150000000</v>
      </c>
      <c r="V43" s="231">
        <v>4</v>
      </c>
      <c r="W43" s="231">
        <v>1</v>
      </c>
      <c r="X43" s="231">
        <v>1</v>
      </c>
      <c r="Y43" s="231">
        <v>1</v>
      </c>
      <c r="Z43" s="107">
        <f t="shared" si="2"/>
        <v>600000000</v>
      </c>
      <c r="AA43" s="231">
        <v>150000000</v>
      </c>
      <c r="AB43" s="231">
        <v>4</v>
      </c>
      <c r="AC43" s="231">
        <v>1</v>
      </c>
      <c r="AD43" s="231">
        <v>1</v>
      </c>
      <c r="AE43" s="231">
        <v>1</v>
      </c>
      <c r="AF43" s="107">
        <f t="shared" si="3"/>
        <v>600000000</v>
      </c>
      <c r="AG43" s="231">
        <v>150000000</v>
      </c>
      <c r="AH43" s="231">
        <v>4</v>
      </c>
      <c r="AI43" s="231">
        <v>1</v>
      </c>
      <c r="AJ43" s="231">
        <v>1</v>
      </c>
      <c r="AK43" s="231">
        <v>1</v>
      </c>
      <c r="AL43" s="107">
        <f t="shared" si="4"/>
        <v>600000000</v>
      </c>
    </row>
    <row r="44" spans="1:38" ht="45">
      <c r="A44" s="212" t="s">
        <v>125</v>
      </c>
      <c r="B44" s="212" t="s">
        <v>89</v>
      </c>
      <c r="C44" s="141"/>
      <c r="D44" s="222" t="s">
        <v>345</v>
      </c>
      <c r="E44" s="214" t="s">
        <v>351</v>
      </c>
      <c r="F44" s="215" t="s">
        <v>481</v>
      </c>
      <c r="G44" s="217"/>
      <c r="H44" s="219" t="s">
        <v>535</v>
      </c>
      <c r="I44" s="145">
        <v>100000</v>
      </c>
      <c r="J44" s="145">
        <v>29330</v>
      </c>
      <c r="K44" s="145">
        <v>3</v>
      </c>
      <c r="L44" s="145">
        <v>1</v>
      </c>
      <c r="M44" s="145">
        <v>1</v>
      </c>
      <c r="N44" s="146">
        <f t="shared" si="0"/>
        <v>8799000000</v>
      </c>
      <c r="O44" s="145">
        <v>100000</v>
      </c>
      <c r="P44" s="145">
        <v>29330</v>
      </c>
      <c r="Q44" s="145">
        <v>3</v>
      </c>
      <c r="R44" s="145">
        <v>1</v>
      </c>
      <c r="S44" s="145">
        <v>1</v>
      </c>
      <c r="T44" s="107">
        <f t="shared" si="1"/>
        <v>8799000000</v>
      </c>
      <c r="U44" s="145">
        <v>100000</v>
      </c>
      <c r="V44" s="145">
        <v>29330</v>
      </c>
      <c r="W44" s="145">
        <v>3</v>
      </c>
      <c r="X44" s="145">
        <v>1</v>
      </c>
      <c r="Y44" s="145">
        <v>1</v>
      </c>
      <c r="Z44" s="107">
        <f t="shared" si="2"/>
        <v>8799000000</v>
      </c>
      <c r="AA44" s="145">
        <v>100000</v>
      </c>
      <c r="AB44" s="145">
        <v>29330</v>
      </c>
      <c r="AC44" s="145">
        <v>3</v>
      </c>
      <c r="AD44" s="145">
        <v>1</v>
      </c>
      <c r="AE44" s="145">
        <v>1</v>
      </c>
      <c r="AF44" s="107">
        <f t="shared" si="3"/>
        <v>8799000000</v>
      </c>
      <c r="AG44" s="145">
        <v>100000</v>
      </c>
      <c r="AH44" s="145">
        <v>29330</v>
      </c>
      <c r="AI44" s="145">
        <v>3</v>
      </c>
      <c r="AJ44" s="145">
        <v>1</v>
      </c>
      <c r="AK44" s="145">
        <v>1</v>
      </c>
      <c r="AL44" s="107">
        <f t="shared" si="4"/>
        <v>8799000000</v>
      </c>
    </row>
    <row r="45" spans="1:38" ht="56.25">
      <c r="A45" s="212" t="s">
        <v>125</v>
      </c>
      <c r="B45" s="212" t="s">
        <v>89</v>
      </c>
      <c r="C45" s="141"/>
      <c r="D45" s="222" t="s">
        <v>345</v>
      </c>
      <c r="E45" s="214" t="s">
        <v>352</v>
      </c>
      <c r="F45" s="215" t="s">
        <v>481</v>
      </c>
      <c r="G45" s="217" t="s">
        <v>322</v>
      </c>
      <c r="H45" s="219" t="s">
        <v>535</v>
      </c>
      <c r="I45" s="145">
        <v>200000</v>
      </c>
      <c r="J45" s="145">
        <v>175</v>
      </c>
      <c r="K45" s="145">
        <v>3</v>
      </c>
      <c r="L45" s="145">
        <v>1</v>
      </c>
      <c r="M45" s="145">
        <v>1</v>
      </c>
      <c r="N45" s="146">
        <f t="shared" si="0"/>
        <v>105000000</v>
      </c>
      <c r="O45" s="145">
        <v>200000</v>
      </c>
      <c r="P45" s="145">
        <v>175</v>
      </c>
      <c r="Q45" s="145">
        <v>3</v>
      </c>
      <c r="R45" s="145">
        <v>1</v>
      </c>
      <c r="S45" s="145">
        <v>1</v>
      </c>
      <c r="T45" s="107">
        <f t="shared" si="1"/>
        <v>105000000</v>
      </c>
      <c r="U45" s="145">
        <v>200000</v>
      </c>
      <c r="V45" s="145">
        <v>175</v>
      </c>
      <c r="W45" s="145">
        <v>3</v>
      </c>
      <c r="X45" s="145">
        <v>1</v>
      </c>
      <c r="Y45" s="145">
        <v>1</v>
      </c>
      <c r="Z45" s="107">
        <f t="shared" si="2"/>
        <v>105000000</v>
      </c>
      <c r="AA45" s="145">
        <v>200000</v>
      </c>
      <c r="AB45" s="145">
        <v>175</v>
      </c>
      <c r="AC45" s="145">
        <v>3</v>
      </c>
      <c r="AD45" s="145">
        <v>1</v>
      </c>
      <c r="AE45" s="145">
        <v>1</v>
      </c>
      <c r="AF45" s="107">
        <f t="shared" si="3"/>
        <v>105000000</v>
      </c>
      <c r="AG45" s="145">
        <v>200000</v>
      </c>
      <c r="AH45" s="145">
        <v>175</v>
      </c>
      <c r="AI45" s="145">
        <v>3</v>
      </c>
      <c r="AJ45" s="145">
        <v>1</v>
      </c>
      <c r="AK45" s="145">
        <v>1</v>
      </c>
      <c r="AL45" s="148">
        <f t="shared" si="4"/>
        <v>105000000</v>
      </c>
    </row>
    <row r="46" spans="1:38" ht="45">
      <c r="A46" s="212" t="s">
        <v>125</v>
      </c>
      <c r="B46" s="212" t="s">
        <v>89</v>
      </c>
      <c r="C46" s="141"/>
      <c r="D46" s="222" t="s">
        <v>345</v>
      </c>
      <c r="E46" s="214" t="s">
        <v>353</v>
      </c>
      <c r="F46" s="215" t="s">
        <v>481</v>
      </c>
      <c r="G46" s="217" t="s">
        <v>322</v>
      </c>
      <c r="H46" s="219" t="s">
        <v>536</v>
      </c>
      <c r="I46" s="145">
        <v>730300</v>
      </c>
      <c r="J46" s="145">
        <v>500</v>
      </c>
      <c r="K46" s="145">
        <v>1</v>
      </c>
      <c r="L46" s="145">
        <v>1</v>
      </c>
      <c r="M46" s="145">
        <v>1</v>
      </c>
      <c r="N46" s="107">
        <f t="shared" si="0"/>
        <v>365150000</v>
      </c>
      <c r="O46" s="145">
        <v>730300</v>
      </c>
      <c r="P46" s="145">
        <v>500</v>
      </c>
      <c r="Q46" s="145">
        <v>1</v>
      </c>
      <c r="R46" s="145">
        <v>1</v>
      </c>
      <c r="S46" s="145">
        <v>1</v>
      </c>
      <c r="T46" s="107">
        <f t="shared" si="1"/>
        <v>365150000</v>
      </c>
      <c r="U46" s="145">
        <v>730300</v>
      </c>
      <c r="V46" s="145">
        <v>500</v>
      </c>
      <c r="W46" s="145">
        <v>1</v>
      </c>
      <c r="X46" s="145">
        <v>1</v>
      </c>
      <c r="Y46" s="145">
        <v>1</v>
      </c>
      <c r="Z46" s="107">
        <f t="shared" si="2"/>
        <v>365150000</v>
      </c>
      <c r="AA46" s="145">
        <v>730300</v>
      </c>
      <c r="AB46" s="145">
        <v>500</v>
      </c>
      <c r="AC46" s="145">
        <v>1</v>
      </c>
      <c r="AD46" s="145">
        <v>1</v>
      </c>
      <c r="AE46" s="145">
        <v>1</v>
      </c>
      <c r="AF46" s="107">
        <f t="shared" si="3"/>
        <v>365150000</v>
      </c>
      <c r="AG46" s="145">
        <v>730300</v>
      </c>
      <c r="AH46" s="145">
        <v>500</v>
      </c>
      <c r="AI46" s="145">
        <v>1</v>
      </c>
      <c r="AJ46" s="145">
        <v>1</v>
      </c>
      <c r="AK46" s="145">
        <v>1</v>
      </c>
      <c r="AL46" s="148">
        <f t="shared" si="4"/>
        <v>365150000</v>
      </c>
    </row>
    <row r="47" spans="1:38" ht="45">
      <c r="A47" s="212" t="s">
        <v>125</v>
      </c>
      <c r="B47" s="212" t="s">
        <v>89</v>
      </c>
      <c r="C47" s="141"/>
      <c r="D47" s="222" t="s">
        <v>345</v>
      </c>
      <c r="E47" s="214" t="s">
        <v>354</v>
      </c>
      <c r="F47" s="215" t="s">
        <v>481</v>
      </c>
      <c r="G47" s="217" t="s">
        <v>322</v>
      </c>
      <c r="H47" s="219" t="s">
        <v>538</v>
      </c>
      <c r="I47" s="145">
        <v>100000</v>
      </c>
      <c r="J47" s="145">
        <v>15084</v>
      </c>
      <c r="K47" s="145">
        <v>3</v>
      </c>
      <c r="L47" s="145">
        <v>1</v>
      </c>
      <c r="M47" s="145">
        <v>1</v>
      </c>
      <c r="N47" s="146">
        <f t="shared" si="0"/>
        <v>4525200000</v>
      </c>
      <c r="O47" s="145">
        <v>100000</v>
      </c>
      <c r="P47" s="145">
        <v>15084</v>
      </c>
      <c r="Q47" s="145">
        <v>3</v>
      </c>
      <c r="R47" s="145">
        <v>1</v>
      </c>
      <c r="S47" s="145">
        <v>1</v>
      </c>
      <c r="T47" s="107">
        <f t="shared" si="1"/>
        <v>4525200000</v>
      </c>
      <c r="U47" s="145">
        <v>100000</v>
      </c>
      <c r="V47" s="145">
        <v>15084</v>
      </c>
      <c r="W47" s="145">
        <v>3</v>
      </c>
      <c r="X47" s="145">
        <v>1</v>
      </c>
      <c r="Y47" s="145">
        <v>1</v>
      </c>
      <c r="Z47" s="107">
        <f t="shared" si="2"/>
        <v>4525200000</v>
      </c>
      <c r="AA47" s="145">
        <v>100000</v>
      </c>
      <c r="AB47" s="145">
        <v>15084</v>
      </c>
      <c r="AC47" s="145">
        <v>3</v>
      </c>
      <c r="AD47" s="145">
        <v>1</v>
      </c>
      <c r="AE47" s="145">
        <v>1</v>
      </c>
      <c r="AF47" s="107">
        <f t="shared" si="3"/>
        <v>4525200000</v>
      </c>
      <c r="AG47" s="145">
        <v>100000</v>
      </c>
      <c r="AH47" s="145">
        <v>15084</v>
      </c>
      <c r="AI47" s="145">
        <v>3</v>
      </c>
      <c r="AJ47" s="145">
        <v>1</v>
      </c>
      <c r="AK47" s="145">
        <v>1</v>
      </c>
      <c r="AL47" s="148">
        <f t="shared" si="4"/>
        <v>4525200000</v>
      </c>
    </row>
    <row r="48" spans="1:38" ht="45">
      <c r="A48" s="212" t="s">
        <v>125</v>
      </c>
      <c r="B48" s="212" t="s">
        <v>89</v>
      </c>
      <c r="C48" s="141"/>
      <c r="D48" s="222" t="s">
        <v>345</v>
      </c>
      <c r="E48" s="214" t="s">
        <v>355</v>
      </c>
      <c r="F48" s="215" t="s">
        <v>481</v>
      </c>
      <c r="G48" s="217" t="s">
        <v>322</v>
      </c>
      <c r="H48" s="219" t="s">
        <v>537</v>
      </c>
      <c r="I48" s="145">
        <v>1770000</v>
      </c>
      <c r="J48" s="145">
        <v>18</v>
      </c>
      <c r="K48" s="145">
        <v>1</v>
      </c>
      <c r="L48" s="145">
        <v>1</v>
      </c>
      <c r="M48" s="145">
        <v>1</v>
      </c>
      <c r="N48" s="146">
        <f t="shared" si="0"/>
        <v>31860000</v>
      </c>
      <c r="O48" s="145">
        <v>1770000</v>
      </c>
      <c r="P48" s="145">
        <v>18</v>
      </c>
      <c r="Q48" s="145">
        <v>1</v>
      </c>
      <c r="R48" s="145">
        <v>1</v>
      </c>
      <c r="S48" s="145">
        <v>1</v>
      </c>
      <c r="T48" s="107">
        <f t="shared" si="1"/>
        <v>31860000</v>
      </c>
      <c r="U48" s="145">
        <v>1770000</v>
      </c>
      <c r="V48" s="145">
        <v>18</v>
      </c>
      <c r="W48" s="145">
        <v>1</v>
      </c>
      <c r="X48" s="145">
        <v>1</v>
      </c>
      <c r="Y48" s="145">
        <v>1</v>
      </c>
      <c r="Z48" s="107">
        <f t="shared" si="2"/>
        <v>31860000</v>
      </c>
      <c r="AA48" s="145">
        <v>1770000</v>
      </c>
      <c r="AB48" s="145">
        <v>18</v>
      </c>
      <c r="AC48" s="145">
        <v>1</v>
      </c>
      <c r="AD48" s="145">
        <v>1</v>
      </c>
      <c r="AE48" s="145">
        <v>1</v>
      </c>
      <c r="AF48" s="107">
        <f t="shared" si="3"/>
        <v>31860000</v>
      </c>
      <c r="AG48" s="145">
        <v>1770000</v>
      </c>
      <c r="AH48" s="145">
        <v>18</v>
      </c>
      <c r="AI48" s="145">
        <v>1</v>
      </c>
      <c r="AJ48" s="145">
        <v>1</v>
      </c>
      <c r="AK48" s="145">
        <v>1</v>
      </c>
      <c r="AL48" s="148">
        <f t="shared" si="4"/>
        <v>31860000</v>
      </c>
    </row>
    <row r="49" spans="1:38" ht="45">
      <c r="A49" s="212" t="s">
        <v>125</v>
      </c>
      <c r="B49" s="212" t="s">
        <v>89</v>
      </c>
      <c r="C49" s="141"/>
      <c r="D49" s="222" t="s">
        <v>345</v>
      </c>
      <c r="E49" s="214" t="s">
        <v>356</v>
      </c>
      <c r="F49" s="215" t="s">
        <v>481</v>
      </c>
      <c r="G49" s="217" t="s">
        <v>322</v>
      </c>
      <c r="H49" s="219" t="s">
        <v>538</v>
      </c>
      <c r="I49" s="145">
        <v>601530</v>
      </c>
      <c r="J49" s="145">
        <v>12</v>
      </c>
      <c r="K49" s="145">
        <v>60</v>
      </c>
      <c r="L49" s="145">
        <v>1</v>
      </c>
      <c r="M49" s="145">
        <v>1</v>
      </c>
      <c r="N49" s="146">
        <f>PRODUCT(I49:M49)</f>
        <v>433101600</v>
      </c>
      <c r="O49" s="145">
        <v>601530</v>
      </c>
      <c r="P49" s="145">
        <v>12</v>
      </c>
      <c r="Q49" s="145">
        <v>60</v>
      </c>
      <c r="R49" s="145">
        <v>1</v>
      </c>
      <c r="S49" s="145">
        <v>1</v>
      </c>
      <c r="T49" s="107">
        <f t="shared" ref="T49:T53" si="5">PRODUCT(O49:S49)</f>
        <v>433101600</v>
      </c>
      <c r="U49" s="145">
        <v>601530</v>
      </c>
      <c r="V49" s="145">
        <v>12</v>
      </c>
      <c r="W49" s="145">
        <v>60</v>
      </c>
      <c r="X49" s="145">
        <v>1</v>
      </c>
      <c r="Y49" s="145">
        <v>1</v>
      </c>
      <c r="Z49" s="107">
        <f t="shared" ref="Z49:Z53" si="6">PRODUCT(U49:Y49)</f>
        <v>433101600</v>
      </c>
      <c r="AA49" s="145">
        <v>601530</v>
      </c>
      <c r="AB49" s="145">
        <v>12</v>
      </c>
      <c r="AC49" s="145">
        <v>60</v>
      </c>
      <c r="AD49" s="145">
        <v>1</v>
      </c>
      <c r="AE49" s="145">
        <v>1</v>
      </c>
      <c r="AF49" s="107">
        <f t="shared" ref="AF49:AF53" si="7">PRODUCT(AA49:AE49)</f>
        <v>433101600</v>
      </c>
      <c r="AG49" s="145">
        <v>601530</v>
      </c>
      <c r="AH49" s="145">
        <v>12</v>
      </c>
      <c r="AI49" s="145">
        <v>60</v>
      </c>
      <c r="AJ49" s="145">
        <v>1</v>
      </c>
      <c r="AK49" s="145">
        <v>1</v>
      </c>
      <c r="AL49" s="148">
        <f t="shared" ref="AL49:AL54" si="8">PRODUCT(AG49:AK49)</f>
        <v>433101600</v>
      </c>
    </row>
    <row r="50" spans="1:38" ht="45">
      <c r="A50" s="212" t="s">
        <v>125</v>
      </c>
      <c r="B50" s="212" t="s">
        <v>89</v>
      </c>
      <c r="C50" s="263"/>
      <c r="D50" s="222" t="s">
        <v>345</v>
      </c>
      <c r="E50" s="271" t="s">
        <v>646</v>
      </c>
      <c r="F50" s="215" t="s">
        <v>481</v>
      </c>
      <c r="G50" s="217" t="s">
        <v>322</v>
      </c>
      <c r="H50" s="219" t="s">
        <v>538</v>
      </c>
      <c r="I50" s="265">
        <v>457240000</v>
      </c>
      <c r="J50" s="264">
        <v>1</v>
      </c>
      <c r="K50" s="264">
        <v>1</v>
      </c>
      <c r="L50" s="264">
        <v>1</v>
      </c>
      <c r="M50" s="264">
        <v>1</v>
      </c>
      <c r="N50" s="146">
        <f t="shared" ref="N50:N113" si="9">PRODUCT(I50:M50)</f>
        <v>457240000</v>
      </c>
      <c r="O50" s="264"/>
      <c r="P50" s="264"/>
      <c r="Q50" s="264"/>
      <c r="R50" s="264"/>
      <c r="S50" s="264"/>
      <c r="T50" s="107">
        <f t="shared" si="5"/>
        <v>0</v>
      </c>
      <c r="U50" s="264"/>
      <c r="V50" s="264"/>
      <c r="W50" s="264"/>
      <c r="X50" s="264"/>
      <c r="Y50" s="264"/>
      <c r="Z50" s="107">
        <f t="shared" si="6"/>
        <v>0</v>
      </c>
      <c r="AA50" s="264"/>
      <c r="AB50" s="264"/>
      <c r="AC50" s="264"/>
      <c r="AD50" s="264"/>
      <c r="AE50" s="264"/>
      <c r="AF50" s="107">
        <f t="shared" si="7"/>
        <v>0</v>
      </c>
      <c r="AG50" s="264"/>
      <c r="AH50" s="264"/>
      <c r="AI50" s="264"/>
      <c r="AJ50" s="264"/>
      <c r="AK50" s="264"/>
      <c r="AL50" s="148">
        <f t="shared" si="8"/>
        <v>0</v>
      </c>
    </row>
    <row r="51" spans="1:38" ht="45">
      <c r="A51" s="212" t="s">
        <v>125</v>
      </c>
      <c r="B51" s="212" t="s">
        <v>89</v>
      </c>
      <c r="C51" s="263"/>
      <c r="D51" s="222" t="s">
        <v>345</v>
      </c>
      <c r="E51" s="271" t="s">
        <v>645</v>
      </c>
      <c r="F51" s="215" t="s">
        <v>481</v>
      </c>
      <c r="G51" s="217" t="s">
        <v>322</v>
      </c>
      <c r="H51" s="219" t="s">
        <v>538</v>
      </c>
      <c r="I51" s="265">
        <v>495440000</v>
      </c>
      <c r="J51" s="264">
        <v>1</v>
      </c>
      <c r="K51" s="264">
        <v>1</v>
      </c>
      <c r="L51" s="264">
        <v>1</v>
      </c>
      <c r="M51" s="264">
        <v>1</v>
      </c>
      <c r="N51" s="267">
        <f t="shared" si="9"/>
        <v>495440000</v>
      </c>
      <c r="O51" s="265">
        <v>495440000</v>
      </c>
      <c r="P51" s="266"/>
      <c r="Q51" s="266"/>
      <c r="R51" s="266"/>
      <c r="S51" s="266"/>
      <c r="T51" s="268">
        <f t="shared" si="5"/>
        <v>495440000</v>
      </c>
      <c r="U51" s="265">
        <v>495440000</v>
      </c>
      <c r="V51" s="266"/>
      <c r="W51" s="266"/>
      <c r="X51" s="266"/>
      <c r="Y51" s="266"/>
      <c r="Z51" s="268">
        <f t="shared" si="6"/>
        <v>495440000</v>
      </c>
      <c r="AA51" s="265">
        <v>495440000</v>
      </c>
      <c r="AB51" s="266"/>
      <c r="AC51" s="266"/>
      <c r="AD51" s="266"/>
      <c r="AE51" s="266"/>
      <c r="AF51" s="268">
        <f t="shared" si="7"/>
        <v>495440000</v>
      </c>
      <c r="AG51" s="265">
        <v>495440000</v>
      </c>
      <c r="AH51" s="266"/>
      <c r="AI51" s="266"/>
      <c r="AJ51" s="266"/>
      <c r="AK51" s="266"/>
      <c r="AL51" s="269">
        <f t="shared" si="8"/>
        <v>495440000</v>
      </c>
    </row>
    <row r="52" spans="1:38" ht="36">
      <c r="A52" s="212" t="s">
        <v>125</v>
      </c>
      <c r="B52" s="212" t="s">
        <v>87</v>
      </c>
      <c r="C52" s="263"/>
      <c r="D52" s="222" t="s">
        <v>323</v>
      </c>
      <c r="E52" s="271" t="s">
        <v>647</v>
      </c>
      <c r="F52" s="215" t="s">
        <v>481</v>
      </c>
      <c r="G52" s="217" t="s">
        <v>322</v>
      </c>
      <c r="H52" s="219" t="s">
        <v>538</v>
      </c>
      <c r="I52" s="265">
        <v>137582720</v>
      </c>
      <c r="J52" s="264">
        <v>1</v>
      </c>
      <c r="K52" s="264">
        <v>1</v>
      </c>
      <c r="L52" s="264">
        <v>1</v>
      </c>
      <c r="M52" s="264">
        <v>1</v>
      </c>
      <c r="N52" s="267">
        <f t="shared" si="9"/>
        <v>137582720</v>
      </c>
      <c r="O52" s="265">
        <v>137582720</v>
      </c>
      <c r="P52" s="266"/>
      <c r="Q52" s="266"/>
      <c r="R52" s="266"/>
      <c r="S52" s="266"/>
      <c r="T52" s="268">
        <f t="shared" si="5"/>
        <v>137582720</v>
      </c>
      <c r="U52" s="265">
        <v>137582720</v>
      </c>
      <c r="V52" s="266"/>
      <c r="W52" s="266"/>
      <c r="X52" s="266"/>
      <c r="Y52" s="266"/>
      <c r="Z52" s="268">
        <f t="shared" si="6"/>
        <v>137582720</v>
      </c>
      <c r="AA52" s="265">
        <v>137582720</v>
      </c>
      <c r="AB52" s="266"/>
      <c r="AC52" s="266"/>
      <c r="AD52" s="266"/>
      <c r="AE52" s="266"/>
      <c r="AF52" s="268">
        <f t="shared" si="7"/>
        <v>137582720</v>
      </c>
      <c r="AG52" s="265">
        <v>137582720</v>
      </c>
      <c r="AH52" s="266"/>
      <c r="AI52" s="266"/>
      <c r="AJ52" s="266"/>
      <c r="AK52" s="266"/>
      <c r="AL52" s="269">
        <f t="shared" si="8"/>
        <v>137582720</v>
      </c>
    </row>
    <row r="53" spans="1:38" ht="48">
      <c r="A53" s="212" t="s">
        <v>144</v>
      </c>
      <c r="B53" s="212" t="s">
        <v>87</v>
      </c>
      <c r="C53" s="141"/>
      <c r="D53" s="222" t="s">
        <v>650</v>
      </c>
      <c r="E53" s="271" t="s">
        <v>648</v>
      </c>
      <c r="F53" s="215" t="s">
        <v>481</v>
      </c>
      <c r="G53" s="217" t="s">
        <v>322</v>
      </c>
      <c r="H53" s="219" t="s">
        <v>538</v>
      </c>
      <c r="I53" s="265">
        <v>255650000</v>
      </c>
      <c r="J53" s="264">
        <v>1</v>
      </c>
      <c r="K53" s="264">
        <v>1</v>
      </c>
      <c r="L53" s="264">
        <v>1</v>
      </c>
      <c r="M53" s="264">
        <v>1</v>
      </c>
      <c r="N53" s="267">
        <f t="shared" si="9"/>
        <v>255650000</v>
      </c>
      <c r="O53" s="265">
        <v>255650000</v>
      </c>
      <c r="P53" s="266"/>
      <c r="Q53" s="266"/>
      <c r="R53" s="266"/>
      <c r="S53" s="266"/>
      <c r="T53" s="268">
        <f t="shared" si="5"/>
        <v>255650000</v>
      </c>
      <c r="U53" s="265">
        <v>255650000</v>
      </c>
      <c r="V53" s="266"/>
      <c r="W53" s="266"/>
      <c r="X53" s="266"/>
      <c r="Y53" s="266"/>
      <c r="Z53" s="268">
        <f t="shared" si="6"/>
        <v>255650000</v>
      </c>
      <c r="AA53" s="265">
        <v>255650000</v>
      </c>
      <c r="AB53" s="266"/>
      <c r="AC53" s="266"/>
      <c r="AD53" s="266"/>
      <c r="AE53" s="266"/>
      <c r="AF53" s="268">
        <f t="shared" si="7"/>
        <v>255650000</v>
      </c>
      <c r="AG53" s="265">
        <v>255650000</v>
      </c>
      <c r="AH53" s="266"/>
      <c r="AI53" s="266"/>
      <c r="AJ53" s="266"/>
      <c r="AK53" s="266"/>
      <c r="AL53" s="269">
        <f t="shared" si="8"/>
        <v>255650000</v>
      </c>
    </row>
    <row r="54" spans="1:38" ht="48">
      <c r="A54" s="212" t="s">
        <v>144</v>
      </c>
      <c r="B54" s="212" t="s">
        <v>87</v>
      </c>
      <c r="C54" s="263"/>
      <c r="D54" s="222" t="s">
        <v>650</v>
      </c>
      <c r="E54" s="271" t="s">
        <v>649</v>
      </c>
      <c r="F54" s="215" t="s">
        <v>481</v>
      </c>
      <c r="G54" s="217" t="s">
        <v>322</v>
      </c>
      <c r="H54" s="219" t="s">
        <v>538</v>
      </c>
      <c r="I54" s="265">
        <v>395000000</v>
      </c>
      <c r="J54" s="264">
        <v>1</v>
      </c>
      <c r="K54" s="264">
        <v>1</v>
      </c>
      <c r="L54" s="264">
        <v>1</v>
      </c>
      <c r="M54" s="264">
        <v>1</v>
      </c>
      <c r="N54" s="267">
        <f t="shared" si="9"/>
        <v>395000000</v>
      </c>
      <c r="O54" s="265"/>
      <c r="P54" s="266"/>
      <c r="Q54" s="266"/>
      <c r="R54" s="266"/>
      <c r="S54" s="266"/>
      <c r="T54" s="270"/>
      <c r="U54" s="265"/>
      <c r="V54" s="266"/>
      <c r="W54" s="266"/>
      <c r="X54" s="266"/>
      <c r="Y54" s="266"/>
      <c r="Z54" s="270"/>
      <c r="AA54" s="265"/>
      <c r="AB54" s="266"/>
      <c r="AC54" s="266"/>
      <c r="AD54" s="266"/>
      <c r="AE54" s="266"/>
      <c r="AF54" s="270"/>
      <c r="AG54" s="265"/>
      <c r="AH54" s="266"/>
      <c r="AI54" s="266"/>
      <c r="AJ54" s="266"/>
      <c r="AK54" s="266"/>
      <c r="AL54" s="269">
        <f t="shared" si="8"/>
        <v>0</v>
      </c>
    </row>
    <row r="55" spans="1:38" ht="45">
      <c r="A55" s="212" t="s">
        <v>125</v>
      </c>
      <c r="B55" s="212" t="s">
        <v>89</v>
      </c>
      <c r="C55" s="141"/>
      <c r="D55" s="222" t="s">
        <v>345</v>
      </c>
      <c r="E55" s="214" t="s">
        <v>590</v>
      </c>
      <c r="F55" s="215" t="s">
        <v>481</v>
      </c>
      <c r="G55" s="217" t="s">
        <v>322</v>
      </c>
      <c r="H55" s="219" t="s">
        <v>538</v>
      </c>
      <c r="I55" s="145">
        <v>1504167</v>
      </c>
      <c r="J55" s="145">
        <v>12</v>
      </c>
      <c r="K55" s="145">
        <v>50</v>
      </c>
      <c r="L55" s="145">
        <v>1</v>
      </c>
      <c r="M55" s="145">
        <v>1</v>
      </c>
      <c r="N55" s="146">
        <f t="shared" si="9"/>
        <v>902500200</v>
      </c>
      <c r="O55" s="145">
        <v>1504167</v>
      </c>
      <c r="P55" s="145">
        <v>12</v>
      </c>
      <c r="Q55" s="145">
        <v>50</v>
      </c>
      <c r="R55" s="145">
        <v>1</v>
      </c>
      <c r="S55" s="145">
        <v>1</v>
      </c>
      <c r="T55" s="107">
        <f t="shared" si="1"/>
        <v>902500200</v>
      </c>
      <c r="U55" s="145">
        <v>1504167</v>
      </c>
      <c r="V55" s="145">
        <v>12</v>
      </c>
      <c r="W55" s="145">
        <v>50</v>
      </c>
      <c r="X55" s="145">
        <v>1</v>
      </c>
      <c r="Y55" s="145">
        <v>1</v>
      </c>
      <c r="Z55" s="107">
        <f t="shared" si="2"/>
        <v>902500200</v>
      </c>
      <c r="AA55" s="145">
        <v>1504167</v>
      </c>
      <c r="AB55" s="145">
        <v>12</v>
      </c>
      <c r="AC55" s="145">
        <v>50</v>
      </c>
      <c r="AD55" s="145">
        <v>1</v>
      </c>
      <c r="AE55" s="145">
        <v>1</v>
      </c>
      <c r="AF55" s="107">
        <f t="shared" si="3"/>
        <v>902500200</v>
      </c>
      <c r="AG55" s="145">
        <v>1504167</v>
      </c>
      <c r="AH55" s="145">
        <v>12</v>
      </c>
      <c r="AI55" s="145">
        <v>50</v>
      </c>
      <c r="AJ55" s="145">
        <v>1</v>
      </c>
      <c r="AK55" s="145">
        <v>1</v>
      </c>
      <c r="AL55" s="148">
        <f t="shared" si="4"/>
        <v>902500200</v>
      </c>
    </row>
    <row r="56" spans="1:38" ht="45" customHeight="1">
      <c r="A56" s="212" t="s">
        <v>125</v>
      </c>
      <c r="B56" s="212" t="s">
        <v>91</v>
      </c>
      <c r="C56" s="344"/>
      <c r="D56" s="338" t="s">
        <v>357</v>
      </c>
      <c r="E56" s="336" t="s">
        <v>358</v>
      </c>
      <c r="F56" s="340" t="s">
        <v>484</v>
      </c>
      <c r="G56" s="334" t="s">
        <v>322</v>
      </c>
      <c r="H56" s="219" t="s">
        <v>574</v>
      </c>
      <c r="I56" s="231">
        <v>284000</v>
      </c>
      <c r="J56" s="231">
        <v>4</v>
      </c>
      <c r="K56" s="231">
        <v>10</v>
      </c>
      <c r="L56" s="231">
        <v>1</v>
      </c>
      <c r="M56" s="231">
        <v>1</v>
      </c>
      <c r="N56" s="146">
        <f t="shared" si="9"/>
        <v>11360000</v>
      </c>
      <c r="O56" s="231">
        <v>284000</v>
      </c>
      <c r="P56" s="231">
        <v>4</v>
      </c>
      <c r="Q56" s="231">
        <v>10</v>
      </c>
      <c r="R56" s="231">
        <v>1</v>
      </c>
      <c r="S56" s="231">
        <v>1</v>
      </c>
      <c r="T56" s="107">
        <f t="shared" si="1"/>
        <v>11360000</v>
      </c>
      <c r="U56" s="231">
        <v>284000</v>
      </c>
      <c r="V56" s="231">
        <v>4</v>
      </c>
      <c r="W56" s="231">
        <v>10</v>
      </c>
      <c r="X56" s="231">
        <v>1</v>
      </c>
      <c r="Y56" s="231">
        <v>1</v>
      </c>
      <c r="Z56" s="107">
        <f t="shared" si="2"/>
        <v>11360000</v>
      </c>
      <c r="AA56" s="231">
        <v>284000</v>
      </c>
      <c r="AB56" s="231">
        <v>4</v>
      </c>
      <c r="AC56" s="231">
        <v>10</v>
      </c>
      <c r="AD56" s="231">
        <v>1</v>
      </c>
      <c r="AE56" s="231">
        <v>1</v>
      </c>
      <c r="AF56" s="107">
        <f t="shared" si="3"/>
        <v>11360000</v>
      </c>
      <c r="AG56" s="231">
        <v>284000</v>
      </c>
      <c r="AH56" s="231">
        <v>4</v>
      </c>
      <c r="AI56" s="231">
        <v>10</v>
      </c>
      <c r="AJ56" s="231">
        <v>1</v>
      </c>
      <c r="AK56" s="231">
        <v>1</v>
      </c>
      <c r="AL56" s="148">
        <f t="shared" si="4"/>
        <v>11360000</v>
      </c>
    </row>
    <row r="57" spans="1:38" ht="22.5">
      <c r="A57" s="212" t="s">
        <v>134</v>
      </c>
      <c r="B57" s="212" t="s">
        <v>91</v>
      </c>
      <c r="C57" s="345"/>
      <c r="D57" s="339"/>
      <c r="E57" s="337"/>
      <c r="F57" s="341"/>
      <c r="G57" s="335"/>
      <c r="H57" s="219" t="s">
        <v>573</v>
      </c>
      <c r="I57" s="231">
        <v>470000</v>
      </c>
      <c r="J57" s="231">
        <v>54</v>
      </c>
      <c r="K57" s="231">
        <v>10</v>
      </c>
      <c r="L57" s="231">
        <v>1</v>
      </c>
      <c r="M57" s="231">
        <v>1</v>
      </c>
      <c r="N57" s="146">
        <f t="shared" si="9"/>
        <v>253800000</v>
      </c>
      <c r="O57" s="231">
        <v>470000</v>
      </c>
      <c r="P57" s="231">
        <v>54</v>
      </c>
      <c r="Q57" s="231">
        <v>10</v>
      </c>
      <c r="R57" s="231">
        <v>1</v>
      </c>
      <c r="S57" s="231">
        <v>1</v>
      </c>
      <c r="T57" s="107">
        <f t="shared" si="1"/>
        <v>253800000</v>
      </c>
      <c r="U57" s="231">
        <v>470000</v>
      </c>
      <c r="V57" s="231">
        <v>54</v>
      </c>
      <c r="W57" s="231">
        <v>10</v>
      </c>
      <c r="X57" s="231">
        <v>1</v>
      </c>
      <c r="Y57" s="231">
        <v>1</v>
      </c>
      <c r="Z57" s="107">
        <f t="shared" si="2"/>
        <v>253800000</v>
      </c>
      <c r="AA57" s="231">
        <v>470000</v>
      </c>
      <c r="AB57" s="231">
        <v>54</v>
      </c>
      <c r="AC57" s="231">
        <v>10</v>
      </c>
      <c r="AD57" s="231">
        <v>1</v>
      </c>
      <c r="AE57" s="231">
        <v>1</v>
      </c>
      <c r="AF57" s="107">
        <f t="shared" si="3"/>
        <v>253800000</v>
      </c>
      <c r="AG57" s="231">
        <v>470000</v>
      </c>
      <c r="AH57" s="231">
        <v>54</v>
      </c>
      <c r="AI57" s="231">
        <v>10</v>
      </c>
      <c r="AJ57" s="231">
        <v>1</v>
      </c>
      <c r="AK57" s="231">
        <v>1</v>
      </c>
      <c r="AL57" s="148">
        <f t="shared" si="4"/>
        <v>253800000</v>
      </c>
    </row>
    <row r="58" spans="1:38" ht="78.75">
      <c r="A58" s="212" t="s">
        <v>125</v>
      </c>
      <c r="B58" s="212" t="s">
        <v>91</v>
      </c>
      <c r="C58" s="141"/>
      <c r="D58" s="222" t="s">
        <v>357</v>
      </c>
      <c r="E58" s="214" t="s">
        <v>359</v>
      </c>
      <c r="F58" s="226" t="s">
        <v>484</v>
      </c>
      <c r="G58" s="217" t="s">
        <v>322</v>
      </c>
      <c r="H58" s="219" t="s">
        <v>537</v>
      </c>
      <c r="I58" s="231">
        <v>4000000</v>
      </c>
      <c r="J58" s="231">
        <v>80</v>
      </c>
      <c r="K58" s="231">
        <v>1</v>
      </c>
      <c r="L58" s="231">
        <v>1</v>
      </c>
      <c r="M58" s="231">
        <v>1</v>
      </c>
      <c r="N58" s="146">
        <f t="shared" si="9"/>
        <v>320000000</v>
      </c>
      <c r="O58" s="231">
        <v>4000000</v>
      </c>
      <c r="P58" s="231">
        <v>80</v>
      </c>
      <c r="Q58" s="231">
        <v>1</v>
      </c>
      <c r="R58" s="231">
        <v>1</v>
      </c>
      <c r="S58" s="231">
        <v>1</v>
      </c>
      <c r="T58" s="107">
        <f t="shared" si="1"/>
        <v>320000000</v>
      </c>
      <c r="U58" s="231">
        <v>4000000</v>
      </c>
      <c r="V58" s="231">
        <v>80</v>
      </c>
      <c r="W58" s="231">
        <v>1</v>
      </c>
      <c r="X58" s="231">
        <v>1</v>
      </c>
      <c r="Y58" s="231">
        <v>1</v>
      </c>
      <c r="Z58" s="107">
        <f t="shared" si="2"/>
        <v>320000000</v>
      </c>
      <c r="AA58" s="231">
        <v>4000000</v>
      </c>
      <c r="AB58" s="231">
        <v>80</v>
      </c>
      <c r="AC58" s="231">
        <v>1</v>
      </c>
      <c r="AD58" s="231">
        <v>1</v>
      </c>
      <c r="AE58" s="231">
        <v>1</v>
      </c>
      <c r="AF58" s="107">
        <f t="shared" si="3"/>
        <v>320000000</v>
      </c>
      <c r="AG58" s="231">
        <v>4000000</v>
      </c>
      <c r="AH58" s="231">
        <v>80</v>
      </c>
      <c r="AI58" s="231">
        <v>1</v>
      </c>
      <c r="AJ58" s="231">
        <v>1</v>
      </c>
      <c r="AK58" s="231">
        <v>1</v>
      </c>
      <c r="AL58" s="148">
        <f t="shared" si="4"/>
        <v>320000000</v>
      </c>
    </row>
    <row r="59" spans="1:38" ht="78.75">
      <c r="A59" s="212" t="s">
        <v>125</v>
      </c>
      <c r="B59" s="212" t="s">
        <v>91</v>
      </c>
      <c r="C59" s="141"/>
      <c r="D59" s="222" t="s">
        <v>357</v>
      </c>
      <c r="E59" s="214" t="s">
        <v>360</v>
      </c>
      <c r="F59" s="226" t="s">
        <v>484</v>
      </c>
      <c r="G59" s="217" t="s">
        <v>322</v>
      </c>
      <c r="H59" s="219" t="s">
        <v>539</v>
      </c>
      <c r="I59" s="231">
        <v>1000000</v>
      </c>
      <c r="J59" s="231">
        <v>80</v>
      </c>
      <c r="K59" s="231">
        <v>1</v>
      </c>
      <c r="L59" s="231">
        <v>1</v>
      </c>
      <c r="M59" s="231">
        <v>1</v>
      </c>
      <c r="N59" s="146">
        <f t="shared" si="9"/>
        <v>80000000</v>
      </c>
      <c r="O59" s="231">
        <v>1000000</v>
      </c>
      <c r="P59" s="231">
        <v>80</v>
      </c>
      <c r="Q59" s="231">
        <v>1</v>
      </c>
      <c r="R59" s="231">
        <v>1</v>
      </c>
      <c r="S59" s="231">
        <v>1</v>
      </c>
      <c r="T59" s="107">
        <f t="shared" si="1"/>
        <v>80000000</v>
      </c>
      <c r="U59" s="231">
        <v>1000000</v>
      </c>
      <c r="V59" s="231">
        <v>80</v>
      </c>
      <c r="W59" s="231">
        <v>1</v>
      </c>
      <c r="X59" s="231">
        <v>1</v>
      </c>
      <c r="Y59" s="231">
        <v>1</v>
      </c>
      <c r="Z59" s="107">
        <f t="shared" si="2"/>
        <v>80000000</v>
      </c>
      <c r="AA59" s="231">
        <v>1000000</v>
      </c>
      <c r="AB59" s="231">
        <v>80</v>
      </c>
      <c r="AC59" s="231">
        <v>1</v>
      </c>
      <c r="AD59" s="231">
        <v>1</v>
      </c>
      <c r="AE59" s="231">
        <v>1</v>
      </c>
      <c r="AF59" s="107">
        <f t="shared" si="3"/>
        <v>80000000</v>
      </c>
      <c r="AG59" s="231">
        <v>1000000</v>
      </c>
      <c r="AH59" s="231">
        <v>80</v>
      </c>
      <c r="AI59" s="231">
        <v>1</v>
      </c>
      <c r="AJ59" s="231">
        <v>1</v>
      </c>
      <c r="AK59" s="231">
        <v>1</v>
      </c>
      <c r="AL59" s="148">
        <f t="shared" si="4"/>
        <v>80000000</v>
      </c>
    </row>
    <row r="60" spans="1:38" ht="45" customHeight="1">
      <c r="A60" s="342" t="s">
        <v>125</v>
      </c>
      <c r="B60" s="342" t="s">
        <v>91</v>
      </c>
      <c r="C60" s="344"/>
      <c r="D60" s="338" t="s">
        <v>357</v>
      </c>
      <c r="E60" s="336" t="s">
        <v>361</v>
      </c>
      <c r="F60" s="340" t="s">
        <v>484</v>
      </c>
      <c r="G60" s="334" t="s">
        <v>322</v>
      </c>
      <c r="H60" s="336" t="s">
        <v>540</v>
      </c>
      <c r="I60" s="231">
        <v>1000000</v>
      </c>
      <c r="J60" s="231">
        <v>38</v>
      </c>
      <c r="K60" s="231">
        <v>3</v>
      </c>
      <c r="L60" s="231">
        <v>1</v>
      </c>
      <c r="M60" s="231">
        <v>1</v>
      </c>
      <c r="N60" s="146">
        <f t="shared" si="9"/>
        <v>114000000</v>
      </c>
      <c r="O60" s="231">
        <v>1000000</v>
      </c>
      <c r="P60" s="231">
        <v>38</v>
      </c>
      <c r="Q60" s="231">
        <v>3</v>
      </c>
      <c r="R60" s="231">
        <v>1</v>
      </c>
      <c r="S60" s="231">
        <v>1</v>
      </c>
      <c r="T60" s="107">
        <f t="shared" si="1"/>
        <v>114000000</v>
      </c>
      <c r="U60" s="231">
        <v>1000000</v>
      </c>
      <c r="V60" s="231">
        <v>38</v>
      </c>
      <c r="W60" s="231">
        <v>3</v>
      </c>
      <c r="X60" s="231">
        <v>1</v>
      </c>
      <c r="Y60" s="231">
        <v>1</v>
      </c>
      <c r="Z60" s="107">
        <f t="shared" si="2"/>
        <v>114000000</v>
      </c>
      <c r="AA60" s="231">
        <v>1000000</v>
      </c>
      <c r="AB60" s="231">
        <v>38</v>
      </c>
      <c r="AC60" s="231">
        <v>3</v>
      </c>
      <c r="AD60" s="231">
        <v>1</v>
      </c>
      <c r="AE60" s="231">
        <v>1</v>
      </c>
      <c r="AF60" s="107">
        <f t="shared" si="3"/>
        <v>114000000</v>
      </c>
      <c r="AG60" s="231">
        <v>1000000</v>
      </c>
      <c r="AH60" s="231">
        <v>38</v>
      </c>
      <c r="AI60" s="231">
        <v>3</v>
      </c>
      <c r="AJ60" s="231">
        <v>1</v>
      </c>
      <c r="AK60" s="231">
        <v>1</v>
      </c>
      <c r="AL60" s="148">
        <f t="shared" si="4"/>
        <v>114000000</v>
      </c>
    </row>
    <row r="61" spans="1:38">
      <c r="A61" s="343"/>
      <c r="B61" s="343"/>
      <c r="C61" s="345"/>
      <c r="D61" s="339"/>
      <c r="E61" s="337"/>
      <c r="F61" s="341"/>
      <c r="G61" s="335"/>
      <c r="H61" s="337"/>
      <c r="I61" s="231">
        <v>500000</v>
      </c>
      <c r="J61" s="231">
        <v>570</v>
      </c>
      <c r="K61" s="231">
        <v>1</v>
      </c>
      <c r="L61" s="231">
        <v>1</v>
      </c>
      <c r="M61" s="231">
        <v>1</v>
      </c>
      <c r="N61" s="146">
        <f t="shared" si="9"/>
        <v>285000000</v>
      </c>
      <c r="O61" s="231">
        <v>500000</v>
      </c>
      <c r="P61" s="231">
        <v>570</v>
      </c>
      <c r="Q61" s="231">
        <v>1</v>
      </c>
      <c r="R61" s="231">
        <v>1</v>
      </c>
      <c r="S61" s="231">
        <v>1</v>
      </c>
      <c r="T61" s="107">
        <f t="shared" si="1"/>
        <v>285000000</v>
      </c>
      <c r="U61" s="231">
        <v>500000</v>
      </c>
      <c r="V61" s="231">
        <v>570</v>
      </c>
      <c r="W61" s="231">
        <v>1</v>
      </c>
      <c r="X61" s="231">
        <v>1</v>
      </c>
      <c r="Y61" s="231">
        <v>1</v>
      </c>
      <c r="Z61" s="107">
        <f t="shared" si="2"/>
        <v>285000000</v>
      </c>
      <c r="AA61" s="231">
        <v>500000</v>
      </c>
      <c r="AB61" s="231">
        <v>570</v>
      </c>
      <c r="AC61" s="231">
        <v>1</v>
      </c>
      <c r="AD61" s="231">
        <v>1</v>
      </c>
      <c r="AE61" s="231">
        <v>1</v>
      </c>
      <c r="AF61" s="107">
        <f t="shared" si="3"/>
        <v>285000000</v>
      </c>
      <c r="AG61" s="231">
        <v>500000</v>
      </c>
      <c r="AH61" s="231">
        <v>570</v>
      </c>
      <c r="AI61" s="231">
        <v>1</v>
      </c>
      <c r="AJ61" s="231">
        <v>1</v>
      </c>
      <c r="AK61" s="231">
        <v>1</v>
      </c>
      <c r="AL61" s="148">
        <f t="shared" si="4"/>
        <v>285000000</v>
      </c>
    </row>
    <row r="62" spans="1:38" ht="67.5">
      <c r="A62" s="212" t="s">
        <v>125</v>
      </c>
      <c r="B62" s="212" t="s">
        <v>91</v>
      </c>
      <c r="C62" s="141"/>
      <c r="D62" s="222" t="s">
        <v>362</v>
      </c>
      <c r="E62" s="214" t="s">
        <v>363</v>
      </c>
      <c r="F62" s="142" t="s">
        <v>576</v>
      </c>
      <c r="G62" s="217" t="s">
        <v>322</v>
      </c>
      <c r="H62" s="219" t="s">
        <v>541</v>
      </c>
      <c r="I62" s="231">
        <v>2500000</v>
      </c>
      <c r="J62" s="231">
        <v>80</v>
      </c>
      <c r="K62" s="231">
        <v>1</v>
      </c>
      <c r="L62" s="231">
        <v>1</v>
      </c>
      <c r="M62" s="231">
        <v>1</v>
      </c>
      <c r="N62" s="146">
        <f t="shared" si="9"/>
        <v>200000000</v>
      </c>
      <c r="O62" s="231">
        <v>2500000</v>
      </c>
      <c r="P62" s="231">
        <v>80</v>
      </c>
      <c r="Q62" s="231">
        <v>1</v>
      </c>
      <c r="R62" s="231">
        <v>1</v>
      </c>
      <c r="S62" s="231">
        <v>1</v>
      </c>
      <c r="T62" s="107">
        <f t="shared" si="1"/>
        <v>200000000</v>
      </c>
      <c r="U62" s="231">
        <v>2500000</v>
      </c>
      <c r="V62" s="231">
        <v>80</v>
      </c>
      <c r="W62" s="231">
        <v>1</v>
      </c>
      <c r="X62" s="231">
        <v>1</v>
      </c>
      <c r="Y62" s="231">
        <v>1</v>
      </c>
      <c r="Z62" s="107">
        <f t="shared" si="2"/>
        <v>200000000</v>
      </c>
      <c r="AA62" s="231">
        <v>2500000</v>
      </c>
      <c r="AB62" s="231">
        <v>80</v>
      </c>
      <c r="AC62" s="231">
        <v>1</v>
      </c>
      <c r="AD62" s="231">
        <v>1</v>
      </c>
      <c r="AE62" s="231">
        <v>1</v>
      </c>
      <c r="AF62" s="107">
        <f t="shared" si="3"/>
        <v>200000000</v>
      </c>
      <c r="AG62" s="231">
        <v>2500000</v>
      </c>
      <c r="AH62" s="231">
        <v>80</v>
      </c>
      <c r="AI62" s="231">
        <v>1</v>
      </c>
      <c r="AJ62" s="231">
        <v>1</v>
      </c>
      <c r="AK62" s="231">
        <v>1</v>
      </c>
      <c r="AL62" s="148">
        <f t="shared" si="4"/>
        <v>200000000</v>
      </c>
    </row>
    <row r="63" spans="1:38" ht="67.5">
      <c r="A63" s="212" t="s">
        <v>125</v>
      </c>
      <c r="B63" s="212" t="s">
        <v>91</v>
      </c>
      <c r="C63" s="141"/>
      <c r="D63" s="222" t="s">
        <v>362</v>
      </c>
      <c r="E63" s="214" t="s">
        <v>364</v>
      </c>
      <c r="F63" s="142" t="s">
        <v>576</v>
      </c>
      <c r="G63" s="217" t="s">
        <v>322</v>
      </c>
      <c r="H63" s="219" t="s">
        <v>542</v>
      </c>
      <c r="I63" s="145" t="s">
        <v>542</v>
      </c>
      <c r="J63" s="145" t="s">
        <v>542</v>
      </c>
      <c r="K63" s="145" t="s">
        <v>542</v>
      </c>
      <c r="L63" s="145" t="s">
        <v>542</v>
      </c>
      <c r="M63" s="145" t="s">
        <v>542</v>
      </c>
      <c r="N63" s="146">
        <f t="shared" si="9"/>
        <v>0</v>
      </c>
      <c r="O63" s="145"/>
      <c r="P63" s="145"/>
      <c r="Q63" s="145"/>
      <c r="R63" s="145"/>
      <c r="S63" s="145"/>
      <c r="T63" s="107">
        <f t="shared" si="1"/>
        <v>0</v>
      </c>
      <c r="U63" s="145"/>
      <c r="V63" s="145"/>
      <c r="W63" s="145"/>
      <c r="X63" s="145"/>
      <c r="Y63" s="145"/>
      <c r="Z63" s="107">
        <f t="shared" si="2"/>
        <v>0</v>
      </c>
      <c r="AA63" s="145"/>
      <c r="AB63" s="145"/>
      <c r="AC63" s="145"/>
      <c r="AD63" s="145"/>
      <c r="AE63" s="145"/>
      <c r="AF63" s="107">
        <f t="shared" si="3"/>
        <v>0</v>
      </c>
      <c r="AG63" s="145"/>
      <c r="AH63" s="145"/>
      <c r="AI63" s="145"/>
      <c r="AJ63" s="145"/>
      <c r="AK63" s="145"/>
      <c r="AL63" s="148">
        <f t="shared" si="4"/>
        <v>0</v>
      </c>
    </row>
    <row r="64" spans="1:38" ht="33.75">
      <c r="A64" s="212" t="s">
        <v>125</v>
      </c>
      <c r="B64" s="212" t="s">
        <v>93</v>
      </c>
      <c r="C64" s="141"/>
      <c r="D64" s="233" t="s">
        <v>365</v>
      </c>
      <c r="E64" s="234" t="s">
        <v>366</v>
      </c>
      <c r="F64" s="235" t="s">
        <v>483</v>
      </c>
      <c r="G64" s="236" t="s">
        <v>322</v>
      </c>
      <c r="H64" s="219" t="s">
        <v>543</v>
      </c>
      <c r="I64" s="231">
        <v>270000</v>
      </c>
      <c r="J64" s="232">
        <v>25</v>
      </c>
      <c r="K64" s="232">
        <v>4</v>
      </c>
      <c r="L64" s="232">
        <v>1</v>
      </c>
      <c r="M64" s="232">
        <v>1</v>
      </c>
      <c r="N64" s="107">
        <f t="shared" si="9"/>
        <v>27000000</v>
      </c>
      <c r="O64" s="231">
        <v>270000</v>
      </c>
      <c r="P64" s="232">
        <v>25</v>
      </c>
      <c r="Q64" s="232">
        <v>4</v>
      </c>
      <c r="R64" s="232">
        <v>1</v>
      </c>
      <c r="S64" s="232">
        <v>1</v>
      </c>
      <c r="T64" s="107">
        <f t="shared" si="1"/>
        <v>27000000</v>
      </c>
      <c r="U64" s="231">
        <v>270000</v>
      </c>
      <c r="V64" s="232">
        <v>25</v>
      </c>
      <c r="W64" s="232">
        <v>4</v>
      </c>
      <c r="X64" s="232">
        <v>1</v>
      </c>
      <c r="Y64" s="232">
        <v>1</v>
      </c>
      <c r="Z64" s="107">
        <f t="shared" si="2"/>
        <v>27000000</v>
      </c>
      <c r="AA64" s="231">
        <v>270000</v>
      </c>
      <c r="AB64" s="232">
        <v>25</v>
      </c>
      <c r="AC64" s="232">
        <v>4</v>
      </c>
      <c r="AD64" s="232">
        <v>1</v>
      </c>
      <c r="AE64" s="232">
        <v>1</v>
      </c>
      <c r="AF64" s="107">
        <f t="shared" si="3"/>
        <v>27000000</v>
      </c>
      <c r="AG64" s="231">
        <v>270000</v>
      </c>
      <c r="AH64" s="232">
        <v>25</v>
      </c>
      <c r="AI64" s="232">
        <v>4</v>
      </c>
      <c r="AJ64" s="232">
        <v>1</v>
      </c>
      <c r="AK64" s="232">
        <v>1</v>
      </c>
      <c r="AL64" s="148">
        <f t="shared" si="4"/>
        <v>27000000</v>
      </c>
    </row>
    <row r="65" spans="1:38" ht="45">
      <c r="A65" s="212" t="s">
        <v>125</v>
      </c>
      <c r="B65" s="212" t="s">
        <v>93</v>
      </c>
      <c r="C65" s="141"/>
      <c r="D65" s="222" t="s">
        <v>365</v>
      </c>
      <c r="E65" s="214" t="s">
        <v>367</v>
      </c>
      <c r="F65" s="142" t="s">
        <v>483</v>
      </c>
      <c r="G65" s="217" t="s">
        <v>322</v>
      </c>
      <c r="H65" s="219" t="s">
        <v>544</v>
      </c>
      <c r="I65" s="232">
        <v>615500</v>
      </c>
      <c r="J65" s="232">
        <v>6</v>
      </c>
      <c r="K65" s="232">
        <v>14</v>
      </c>
      <c r="L65" s="232">
        <v>1</v>
      </c>
      <c r="M65" s="232">
        <v>4</v>
      </c>
      <c r="N65" s="107">
        <f t="shared" si="9"/>
        <v>206808000</v>
      </c>
      <c r="O65" s="232">
        <v>615500</v>
      </c>
      <c r="P65" s="232">
        <v>6</v>
      </c>
      <c r="Q65" s="232">
        <v>14</v>
      </c>
      <c r="R65" s="232">
        <v>1</v>
      </c>
      <c r="S65" s="232">
        <v>4</v>
      </c>
      <c r="T65" s="107">
        <f t="shared" si="1"/>
        <v>206808000</v>
      </c>
      <c r="U65" s="232">
        <v>615500</v>
      </c>
      <c r="V65" s="232">
        <v>6</v>
      </c>
      <c r="W65" s="232">
        <v>14</v>
      </c>
      <c r="X65" s="232">
        <v>1</v>
      </c>
      <c r="Y65" s="232">
        <v>4</v>
      </c>
      <c r="Z65" s="107">
        <f t="shared" si="2"/>
        <v>206808000</v>
      </c>
      <c r="AA65" s="232">
        <v>615500</v>
      </c>
      <c r="AB65" s="232">
        <v>6</v>
      </c>
      <c r="AC65" s="232">
        <v>14</v>
      </c>
      <c r="AD65" s="232">
        <v>1</v>
      </c>
      <c r="AE65" s="232">
        <v>4</v>
      </c>
      <c r="AF65" s="107">
        <f t="shared" si="3"/>
        <v>206808000</v>
      </c>
      <c r="AG65" s="232">
        <v>615500</v>
      </c>
      <c r="AH65" s="232">
        <v>6</v>
      </c>
      <c r="AI65" s="232">
        <v>14</v>
      </c>
      <c r="AJ65" s="232">
        <v>1</v>
      </c>
      <c r="AK65" s="232">
        <v>4</v>
      </c>
      <c r="AL65" s="148">
        <f t="shared" si="4"/>
        <v>206808000</v>
      </c>
    </row>
    <row r="66" spans="1:38" ht="33.75">
      <c r="A66" s="212" t="s">
        <v>125</v>
      </c>
      <c r="B66" s="212" t="s">
        <v>93</v>
      </c>
      <c r="C66" s="141"/>
      <c r="D66" s="222" t="s">
        <v>365</v>
      </c>
      <c r="E66" s="214" t="s">
        <v>368</v>
      </c>
      <c r="F66" s="142" t="s">
        <v>483</v>
      </c>
      <c r="G66" s="217" t="s">
        <v>322</v>
      </c>
      <c r="H66" s="219" t="s">
        <v>542</v>
      </c>
      <c r="I66" s="232">
        <v>518400</v>
      </c>
      <c r="J66" s="232">
        <v>12</v>
      </c>
      <c r="K66" s="232">
        <v>30</v>
      </c>
      <c r="L66" s="232">
        <v>1</v>
      </c>
      <c r="M66" s="232">
        <v>4</v>
      </c>
      <c r="N66" s="107">
        <f t="shared" si="9"/>
        <v>746496000</v>
      </c>
      <c r="O66" s="232">
        <v>518400</v>
      </c>
      <c r="P66" s="232">
        <v>12</v>
      </c>
      <c r="Q66" s="232">
        <v>30</v>
      </c>
      <c r="R66" s="232">
        <v>1</v>
      </c>
      <c r="S66" s="232">
        <v>4</v>
      </c>
      <c r="T66" s="107">
        <f t="shared" si="1"/>
        <v>746496000</v>
      </c>
      <c r="U66" s="232">
        <v>518400</v>
      </c>
      <c r="V66" s="232">
        <v>12</v>
      </c>
      <c r="W66" s="232">
        <v>30</v>
      </c>
      <c r="X66" s="232">
        <v>1</v>
      </c>
      <c r="Y66" s="232">
        <v>4</v>
      </c>
      <c r="Z66" s="107">
        <f t="shared" si="2"/>
        <v>746496000</v>
      </c>
      <c r="AA66" s="232">
        <v>518400</v>
      </c>
      <c r="AB66" s="232">
        <v>12</v>
      </c>
      <c r="AC66" s="232">
        <v>30</v>
      </c>
      <c r="AD66" s="232">
        <v>1</v>
      </c>
      <c r="AE66" s="232">
        <v>4</v>
      </c>
      <c r="AF66" s="107">
        <f t="shared" si="3"/>
        <v>746496000</v>
      </c>
      <c r="AG66" s="232">
        <v>518400</v>
      </c>
      <c r="AH66" s="232">
        <v>12</v>
      </c>
      <c r="AI66" s="232">
        <v>30</v>
      </c>
      <c r="AJ66" s="232">
        <v>1</v>
      </c>
      <c r="AK66" s="232">
        <v>4</v>
      </c>
      <c r="AL66" s="148">
        <f t="shared" si="4"/>
        <v>746496000</v>
      </c>
    </row>
    <row r="67" spans="1:38" ht="33.75">
      <c r="A67" s="212" t="s">
        <v>125</v>
      </c>
      <c r="B67" s="212" t="s">
        <v>93</v>
      </c>
      <c r="C67" s="141"/>
      <c r="D67" s="222" t="s">
        <v>369</v>
      </c>
      <c r="E67" s="214" t="s">
        <v>370</v>
      </c>
      <c r="F67" s="215" t="s">
        <v>481</v>
      </c>
      <c r="G67" s="217" t="s">
        <v>322</v>
      </c>
      <c r="H67" s="219" t="s">
        <v>543</v>
      </c>
      <c r="I67" s="109">
        <v>3500000</v>
      </c>
      <c r="J67" s="109">
        <v>38</v>
      </c>
      <c r="K67" s="109">
        <v>6</v>
      </c>
      <c r="L67" s="109">
        <v>1</v>
      </c>
      <c r="M67" s="109">
        <v>1</v>
      </c>
      <c r="N67" s="107">
        <f t="shared" si="9"/>
        <v>798000000</v>
      </c>
      <c r="O67" s="109">
        <v>1000000</v>
      </c>
      <c r="P67" s="109">
        <v>38</v>
      </c>
      <c r="Q67" s="109">
        <v>3</v>
      </c>
      <c r="R67" s="109">
        <v>1</v>
      </c>
      <c r="S67" s="109">
        <v>1</v>
      </c>
      <c r="T67" s="107">
        <f t="shared" si="1"/>
        <v>114000000</v>
      </c>
      <c r="U67" s="109">
        <v>1000000</v>
      </c>
      <c r="V67" s="109">
        <v>38</v>
      </c>
      <c r="W67" s="109">
        <v>3</v>
      </c>
      <c r="X67" s="109">
        <v>1</v>
      </c>
      <c r="Y67" s="109">
        <v>1</v>
      </c>
      <c r="Z67" s="107">
        <f t="shared" si="2"/>
        <v>114000000</v>
      </c>
      <c r="AA67" s="109">
        <v>1000000</v>
      </c>
      <c r="AB67" s="109">
        <v>38</v>
      </c>
      <c r="AC67" s="109">
        <v>3</v>
      </c>
      <c r="AD67" s="109">
        <v>1</v>
      </c>
      <c r="AE67" s="109">
        <v>1</v>
      </c>
      <c r="AF67" s="107">
        <f t="shared" si="3"/>
        <v>114000000</v>
      </c>
      <c r="AG67" s="109">
        <v>1000000</v>
      </c>
      <c r="AH67" s="109">
        <v>38</v>
      </c>
      <c r="AI67" s="109">
        <v>3</v>
      </c>
      <c r="AJ67" s="109">
        <v>1</v>
      </c>
      <c r="AK67" s="109">
        <v>1</v>
      </c>
      <c r="AL67" s="148">
        <f t="shared" si="4"/>
        <v>114000000</v>
      </c>
    </row>
    <row r="68" spans="1:38" ht="33.75">
      <c r="A68" s="212" t="s">
        <v>125</v>
      </c>
      <c r="B68" s="212" t="s">
        <v>93</v>
      </c>
      <c r="C68" s="141"/>
      <c r="D68" s="222" t="s">
        <v>369</v>
      </c>
      <c r="E68" s="214" t="s">
        <v>371</v>
      </c>
      <c r="F68" s="215" t="s">
        <v>481</v>
      </c>
      <c r="G68" s="217" t="s">
        <v>322</v>
      </c>
      <c r="H68" s="219" t="s">
        <v>543</v>
      </c>
      <c r="I68" s="109">
        <v>3500000</v>
      </c>
      <c r="J68" s="109">
        <v>38</v>
      </c>
      <c r="K68" s="109">
        <v>6</v>
      </c>
      <c r="L68" s="109">
        <v>1</v>
      </c>
      <c r="M68" s="109">
        <v>1</v>
      </c>
      <c r="N68" s="107">
        <f t="shared" si="9"/>
        <v>798000000</v>
      </c>
      <c r="O68" s="109"/>
      <c r="P68" s="109"/>
      <c r="Q68" s="109"/>
      <c r="R68" s="109"/>
      <c r="S68" s="109"/>
      <c r="T68" s="107">
        <f t="shared" si="1"/>
        <v>0</v>
      </c>
      <c r="U68" s="109"/>
      <c r="V68" s="109"/>
      <c r="W68" s="109"/>
      <c r="X68" s="109"/>
      <c r="Y68" s="109"/>
      <c r="Z68" s="107">
        <f t="shared" si="2"/>
        <v>0</v>
      </c>
      <c r="AA68" s="109"/>
      <c r="AB68" s="109"/>
      <c r="AC68" s="109"/>
      <c r="AD68" s="109"/>
      <c r="AE68" s="109"/>
      <c r="AF68" s="107">
        <f t="shared" si="3"/>
        <v>0</v>
      </c>
      <c r="AG68" s="109"/>
      <c r="AH68" s="109"/>
      <c r="AI68" s="109"/>
      <c r="AJ68" s="109"/>
      <c r="AK68" s="109"/>
      <c r="AL68" s="148">
        <f t="shared" si="4"/>
        <v>0</v>
      </c>
    </row>
    <row r="69" spans="1:38" ht="56.25">
      <c r="A69" s="212" t="s">
        <v>125</v>
      </c>
      <c r="B69" s="212" t="s">
        <v>93</v>
      </c>
      <c r="C69" s="141"/>
      <c r="D69" s="222" t="s">
        <v>372</v>
      </c>
      <c r="E69" s="214" t="s">
        <v>373</v>
      </c>
      <c r="F69" s="215" t="s">
        <v>481</v>
      </c>
      <c r="G69" s="217" t="s">
        <v>322</v>
      </c>
      <c r="H69" s="219" t="s">
        <v>545</v>
      </c>
      <c r="I69" s="147">
        <v>640000</v>
      </c>
      <c r="J69" s="109">
        <v>90</v>
      </c>
      <c r="K69" s="109">
        <v>15</v>
      </c>
      <c r="L69" s="109">
        <v>1</v>
      </c>
      <c r="M69" s="109">
        <v>1</v>
      </c>
      <c r="N69" s="107">
        <f t="shared" si="9"/>
        <v>864000000</v>
      </c>
      <c r="O69" s="147">
        <v>2420000</v>
      </c>
      <c r="P69" s="109">
        <v>10</v>
      </c>
      <c r="Q69" s="109">
        <v>7</v>
      </c>
      <c r="R69" s="109">
        <v>1</v>
      </c>
      <c r="S69" s="109">
        <v>1</v>
      </c>
      <c r="T69" s="107">
        <f t="shared" si="1"/>
        <v>169400000</v>
      </c>
      <c r="U69" s="147">
        <v>2420000</v>
      </c>
      <c r="V69" s="109">
        <v>10</v>
      </c>
      <c r="W69" s="109">
        <v>7</v>
      </c>
      <c r="X69" s="109">
        <v>1</v>
      </c>
      <c r="Y69" s="109">
        <v>1</v>
      </c>
      <c r="Z69" s="107">
        <f t="shared" si="2"/>
        <v>169400000</v>
      </c>
      <c r="AA69" s="147">
        <v>2420000</v>
      </c>
      <c r="AB69" s="109">
        <v>10</v>
      </c>
      <c r="AC69" s="109">
        <v>7</v>
      </c>
      <c r="AD69" s="109">
        <v>1</v>
      </c>
      <c r="AE69" s="109">
        <v>1</v>
      </c>
      <c r="AF69" s="107">
        <f t="shared" si="3"/>
        <v>169400000</v>
      </c>
      <c r="AG69" s="147">
        <v>2420000</v>
      </c>
      <c r="AH69" s="109">
        <v>10</v>
      </c>
      <c r="AI69" s="109">
        <v>7</v>
      </c>
      <c r="AJ69" s="109">
        <v>1</v>
      </c>
      <c r="AK69" s="109">
        <v>1</v>
      </c>
      <c r="AL69" s="148">
        <f t="shared" si="4"/>
        <v>169400000</v>
      </c>
    </row>
    <row r="70" spans="1:38" ht="33.75">
      <c r="A70" s="212" t="s">
        <v>125</v>
      </c>
      <c r="B70" s="212" t="s">
        <v>93</v>
      </c>
      <c r="C70" s="141"/>
      <c r="D70" s="222" t="s">
        <v>372</v>
      </c>
      <c r="E70" s="214" t="s">
        <v>374</v>
      </c>
      <c r="F70" s="215" t="s">
        <v>481</v>
      </c>
      <c r="G70" s="217" t="s">
        <v>322</v>
      </c>
      <c r="H70" s="219" t="s">
        <v>546</v>
      </c>
      <c r="I70" s="109">
        <v>687647</v>
      </c>
      <c r="J70" s="109">
        <v>90</v>
      </c>
      <c r="K70" s="109">
        <v>17</v>
      </c>
      <c r="L70" s="109">
        <v>1</v>
      </c>
      <c r="M70" s="109">
        <v>1</v>
      </c>
      <c r="N70" s="107">
        <f t="shared" si="9"/>
        <v>1052099910</v>
      </c>
      <c r="O70" s="109"/>
      <c r="P70" s="109"/>
      <c r="Q70" s="109"/>
      <c r="R70" s="109"/>
      <c r="S70" s="109"/>
      <c r="T70" s="107">
        <f t="shared" si="1"/>
        <v>0</v>
      </c>
      <c r="U70" s="109"/>
      <c r="V70" s="109"/>
      <c r="W70" s="109"/>
      <c r="X70" s="109"/>
      <c r="Y70" s="109"/>
      <c r="Z70" s="107">
        <f t="shared" si="2"/>
        <v>0</v>
      </c>
      <c r="AA70" s="109"/>
      <c r="AB70" s="109"/>
      <c r="AC70" s="109"/>
      <c r="AD70" s="109"/>
      <c r="AE70" s="109"/>
      <c r="AF70" s="107">
        <f t="shared" si="3"/>
        <v>0</v>
      </c>
      <c r="AG70" s="109"/>
      <c r="AH70" s="109"/>
      <c r="AI70" s="109"/>
      <c r="AJ70" s="109"/>
      <c r="AK70" s="109"/>
      <c r="AL70" s="148">
        <f t="shared" si="4"/>
        <v>0</v>
      </c>
    </row>
    <row r="71" spans="1:38" ht="45">
      <c r="A71" s="212" t="s">
        <v>134</v>
      </c>
      <c r="B71" s="212" t="s">
        <v>87</v>
      </c>
      <c r="C71" s="141"/>
      <c r="D71" s="222" t="s">
        <v>375</v>
      </c>
      <c r="E71" s="214" t="s">
        <v>376</v>
      </c>
      <c r="F71" s="215" t="s">
        <v>494</v>
      </c>
      <c r="G71" s="217" t="s">
        <v>322</v>
      </c>
      <c r="H71" s="219" t="s">
        <v>547</v>
      </c>
      <c r="I71" s="109">
        <v>3565833</v>
      </c>
      <c r="J71" s="109">
        <v>45</v>
      </c>
      <c r="K71" s="109">
        <v>2</v>
      </c>
      <c r="L71" s="109">
        <v>1</v>
      </c>
      <c r="M71" s="109">
        <v>1</v>
      </c>
      <c r="N71" s="107">
        <f t="shared" si="9"/>
        <v>320924970</v>
      </c>
      <c r="O71" s="109">
        <v>459643</v>
      </c>
      <c r="P71" s="109">
        <v>42</v>
      </c>
      <c r="Q71" s="109">
        <v>2</v>
      </c>
      <c r="R71" s="109">
        <v>1</v>
      </c>
      <c r="S71" s="109">
        <v>1</v>
      </c>
      <c r="T71" s="107">
        <f t="shared" si="1"/>
        <v>38610012</v>
      </c>
      <c r="U71" s="109">
        <v>459643</v>
      </c>
      <c r="V71" s="109">
        <v>42</v>
      </c>
      <c r="W71" s="109">
        <v>2</v>
      </c>
      <c r="X71" s="109">
        <v>1</v>
      </c>
      <c r="Y71" s="109">
        <v>1</v>
      </c>
      <c r="Z71" s="107">
        <f t="shared" si="2"/>
        <v>38610012</v>
      </c>
      <c r="AA71" s="109">
        <v>459643</v>
      </c>
      <c r="AB71" s="109">
        <v>42</v>
      </c>
      <c r="AC71" s="109">
        <v>2</v>
      </c>
      <c r="AD71" s="109">
        <v>1</v>
      </c>
      <c r="AE71" s="109">
        <v>1</v>
      </c>
      <c r="AF71" s="107">
        <f t="shared" si="3"/>
        <v>38610012</v>
      </c>
      <c r="AG71" s="109">
        <v>459643</v>
      </c>
      <c r="AH71" s="109">
        <v>42</v>
      </c>
      <c r="AI71" s="109">
        <v>2</v>
      </c>
      <c r="AJ71" s="109">
        <v>1</v>
      </c>
      <c r="AK71" s="109">
        <v>1</v>
      </c>
      <c r="AL71" s="148">
        <f t="shared" si="4"/>
        <v>38610012</v>
      </c>
    </row>
    <row r="72" spans="1:38" ht="45">
      <c r="A72" s="212" t="s">
        <v>134</v>
      </c>
      <c r="B72" s="212" t="s">
        <v>87</v>
      </c>
      <c r="C72" s="141"/>
      <c r="D72" s="222" t="s">
        <v>375</v>
      </c>
      <c r="E72" s="214" t="s">
        <v>377</v>
      </c>
      <c r="F72" s="215" t="s">
        <v>494</v>
      </c>
      <c r="G72" s="217" t="s">
        <v>322</v>
      </c>
      <c r="H72" s="219" t="s">
        <v>548</v>
      </c>
      <c r="I72" s="109">
        <v>160000</v>
      </c>
      <c r="J72" s="109">
        <v>25</v>
      </c>
      <c r="K72" s="109">
        <v>1</v>
      </c>
      <c r="L72" s="109">
        <v>1</v>
      </c>
      <c r="M72" s="109">
        <v>1</v>
      </c>
      <c r="N72" s="107">
        <f t="shared" si="9"/>
        <v>4000000</v>
      </c>
      <c r="O72" s="109"/>
      <c r="P72" s="109"/>
      <c r="Q72" s="109"/>
      <c r="R72" s="109"/>
      <c r="S72" s="109"/>
      <c r="T72" s="107">
        <f t="shared" si="1"/>
        <v>0</v>
      </c>
      <c r="U72" s="109"/>
      <c r="V72" s="109"/>
      <c r="W72" s="109"/>
      <c r="X72" s="109"/>
      <c r="Y72" s="109"/>
      <c r="Z72" s="107">
        <f t="shared" si="2"/>
        <v>0</v>
      </c>
      <c r="AA72" s="109"/>
      <c r="AB72" s="109"/>
      <c r="AC72" s="109"/>
      <c r="AD72" s="109"/>
      <c r="AE72" s="109"/>
      <c r="AF72" s="107">
        <f t="shared" si="3"/>
        <v>0</v>
      </c>
      <c r="AG72" s="109"/>
      <c r="AH72" s="109"/>
      <c r="AI72" s="109"/>
      <c r="AJ72" s="109"/>
      <c r="AK72" s="109"/>
      <c r="AL72" s="148">
        <f t="shared" si="4"/>
        <v>0</v>
      </c>
    </row>
    <row r="73" spans="1:38" ht="45">
      <c r="A73" s="212" t="s">
        <v>134</v>
      </c>
      <c r="B73" s="212" t="s">
        <v>87</v>
      </c>
      <c r="C73" s="141"/>
      <c r="D73" s="222" t="s">
        <v>375</v>
      </c>
      <c r="E73" s="214" t="s">
        <v>597</v>
      </c>
      <c r="F73" s="215" t="s">
        <v>494</v>
      </c>
      <c r="G73" s="217" t="s">
        <v>322</v>
      </c>
      <c r="H73" s="219" t="s">
        <v>548</v>
      </c>
      <c r="I73" s="109">
        <v>160000</v>
      </c>
      <c r="J73" s="109">
        <v>300</v>
      </c>
      <c r="K73" s="109">
        <v>1</v>
      </c>
      <c r="L73" s="109">
        <v>1</v>
      </c>
      <c r="M73" s="109">
        <v>1</v>
      </c>
      <c r="N73" s="107">
        <f t="shared" si="9"/>
        <v>48000000</v>
      </c>
      <c r="O73" s="109"/>
      <c r="P73" s="109"/>
      <c r="Q73" s="109"/>
      <c r="R73" s="109"/>
      <c r="S73" s="109"/>
      <c r="T73" s="107">
        <f t="shared" si="1"/>
        <v>0</v>
      </c>
      <c r="U73" s="109"/>
      <c r="V73" s="109"/>
      <c r="W73" s="109"/>
      <c r="X73" s="109"/>
      <c r="Y73" s="109"/>
      <c r="Z73" s="107">
        <f t="shared" si="2"/>
        <v>0</v>
      </c>
      <c r="AA73" s="109"/>
      <c r="AB73" s="109"/>
      <c r="AC73" s="109"/>
      <c r="AD73" s="109"/>
      <c r="AE73" s="109"/>
      <c r="AF73" s="107">
        <f t="shared" si="3"/>
        <v>0</v>
      </c>
      <c r="AG73" s="109"/>
      <c r="AH73" s="109"/>
      <c r="AI73" s="109"/>
      <c r="AJ73" s="109"/>
      <c r="AK73" s="109"/>
      <c r="AL73" s="148">
        <f t="shared" si="4"/>
        <v>0</v>
      </c>
    </row>
    <row r="74" spans="1:38" ht="45">
      <c r="A74" s="212" t="s">
        <v>134</v>
      </c>
      <c r="B74" s="212" t="s">
        <v>87</v>
      </c>
      <c r="C74" s="141"/>
      <c r="D74" s="222" t="s">
        <v>375</v>
      </c>
      <c r="E74" s="214" t="s">
        <v>378</v>
      </c>
      <c r="F74" s="215" t="s">
        <v>494</v>
      </c>
      <c r="G74" s="217" t="s">
        <v>322</v>
      </c>
      <c r="H74" s="219" t="s">
        <v>549</v>
      </c>
      <c r="I74" s="109">
        <v>300000</v>
      </c>
      <c r="J74" s="109">
        <v>1500</v>
      </c>
      <c r="K74" s="109">
        <v>1</v>
      </c>
      <c r="L74" s="109">
        <v>1</v>
      </c>
      <c r="M74" s="109">
        <v>1</v>
      </c>
      <c r="N74" s="107">
        <f t="shared" si="9"/>
        <v>450000000</v>
      </c>
      <c r="O74" s="109"/>
      <c r="P74" s="109"/>
      <c r="Q74" s="109"/>
      <c r="R74" s="109"/>
      <c r="S74" s="109"/>
      <c r="T74" s="107">
        <f t="shared" si="1"/>
        <v>0</v>
      </c>
      <c r="U74" s="109"/>
      <c r="V74" s="109"/>
      <c r="W74" s="109"/>
      <c r="X74" s="109"/>
      <c r="Y74" s="109"/>
      <c r="Z74" s="107">
        <f t="shared" si="2"/>
        <v>0</v>
      </c>
      <c r="AA74" s="109"/>
      <c r="AB74" s="109"/>
      <c r="AC74" s="109"/>
      <c r="AD74" s="109"/>
      <c r="AE74" s="109"/>
      <c r="AF74" s="107">
        <f t="shared" si="3"/>
        <v>0</v>
      </c>
      <c r="AG74" s="109"/>
      <c r="AH74" s="109"/>
      <c r="AI74" s="109"/>
      <c r="AJ74" s="109"/>
      <c r="AK74" s="109"/>
      <c r="AL74" s="148">
        <f t="shared" si="4"/>
        <v>0</v>
      </c>
    </row>
    <row r="75" spans="1:38" ht="45">
      <c r="A75" s="212" t="s">
        <v>134</v>
      </c>
      <c r="B75" s="212" t="s">
        <v>87</v>
      </c>
      <c r="C75" s="141"/>
      <c r="D75" s="222" t="s">
        <v>375</v>
      </c>
      <c r="E75" s="214" t="s">
        <v>379</v>
      </c>
      <c r="F75" s="215" t="s">
        <v>494</v>
      </c>
      <c r="G75" s="217" t="s">
        <v>322</v>
      </c>
      <c r="H75" s="219" t="s">
        <v>550</v>
      </c>
      <c r="I75" s="109">
        <v>814286</v>
      </c>
      <c r="J75" s="109">
        <v>35</v>
      </c>
      <c r="K75" s="109">
        <v>1</v>
      </c>
      <c r="L75" s="109">
        <v>1</v>
      </c>
      <c r="M75" s="109">
        <v>1</v>
      </c>
      <c r="N75" s="107">
        <f t="shared" si="9"/>
        <v>28500010</v>
      </c>
      <c r="O75" s="109"/>
      <c r="P75" s="109"/>
      <c r="Q75" s="109"/>
      <c r="R75" s="109"/>
      <c r="S75" s="109"/>
      <c r="T75" s="107">
        <f t="shared" si="1"/>
        <v>0</v>
      </c>
      <c r="U75" s="109"/>
      <c r="V75" s="109"/>
      <c r="W75" s="109"/>
      <c r="X75" s="109"/>
      <c r="Y75" s="109"/>
      <c r="Z75" s="107">
        <f t="shared" si="2"/>
        <v>0</v>
      </c>
      <c r="AA75" s="109"/>
      <c r="AB75" s="109"/>
      <c r="AC75" s="109"/>
      <c r="AD75" s="109"/>
      <c r="AE75" s="109"/>
      <c r="AF75" s="107">
        <f t="shared" si="3"/>
        <v>0</v>
      </c>
      <c r="AG75" s="109"/>
      <c r="AH75" s="109"/>
      <c r="AI75" s="109"/>
      <c r="AJ75" s="109"/>
      <c r="AK75" s="109"/>
      <c r="AL75" s="148">
        <f t="shared" si="4"/>
        <v>0</v>
      </c>
    </row>
    <row r="76" spans="1:38" ht="45">
      <c r="A76" s="212" t="s">
        <v>134</v>
      </c>
      <c r="B76" s="212" t="s">
        <v>87</v>
      </c>
      <c r="C76" s="141"/>
      <c r="D76" s="222" t="s">
        <v>380</v>
      </c>
      <c r="E76" s="214" t="s">
        <v>381</v>
      </c>
      <c r="F76" s="215" t="s">
        <v>494</v>
      </c>
      <c r="G76" s="217" t="s">
        <v>322</v>
      </c>
      <c r="H76" s="219" t="s">
        <v>551</v>
      </c>
      <c r="I76" s="109">
        <v>995000</v>
      </c>
      <c r="J76" s="109">
        <v>16</v>
      </c>
      <c r="K76" s="109">
        <v>2</v>
      </c>
      <c r="L76" s="109">
        <v>1</v>
      </c>
      <c r="M76" s="109">
        <v>1</v>
      </c>
      <c r="N76" s="107">
        <f t="shared" si="9"/>
        <v>31840000</v>
      </c>
      <c r="O76" s="109"/>
      <c r="P76" s="109"/>
      <c r="Q76" s="109"/>
      <c r="R76" s="109"/>
      <c r="S76" s="109"/>
      <c r="T76" s="107">
        <f t="shared" si="1"/>
        <v>0</v>
      </c>
      <c r="U76" s="109"/>
      <c r="V76" s="109"/>
      <c r="W76" s="109"/>
      <c r="X76" s="109"/>
      <c r="Y76" s="109"/>
      <c r="Z76" s="107">
        <f t="shared" si="2"/>
        <v>0</v>
      </c>
      <c r="AA76" s="109"/>
      <c r="AB76" s="109"/>
      <c r="AC76" s="109"/>
      <c r="AD76" s="109"/>
      <c r="AE76" s="109"/>
      <c r="AF76" s="107">
        <f t="shared" si="3"/>
        <v>0</v>
      </c>
      <c r="AG76" s="109"/>
      <c r="AH76" s="109"/>
      <c r="AI76" s="109"/>
      <c r="AJ76" s="109"/>
      <c r="AK76" s="109"/>
      <c r="AL76" s="148">
        <f t="shared" si="4"/>
        <v>0</v>
      </c>
    </row>
    <row r="77" spans="1:38" ht="33.75">
      <c r="A77" s="212" t="s">
        <v>134</v>
      </c>
      <c r="B77" s="212" t="s">
        <v>87</v>
      </c>
      <c r="C77" s="141"/>
      <c r="D77" s="222" t="s">
        <v>380</v>
      </c>
      <c r="E77" s="214" t="s">
        <v>382</v>
      </c>
      <c r="F77" s="215" t="s">
        <v>494</v>
      </c>
      <c r="G77" s="217" t="s">
        <v>322</v>
      </c>
      <c r="H77" s="219" t="s">
        <v>551</v>
      </c>
      <c r="I77" s="109">
        <v>1275000</v>
      </c>
      <c r="J77" s="109">
        <v>40</v>
      </c>
      <c r="K77" s="109">
        <v>3</v>
      </c>
      <c r="L77" s="109">
        <v>1</v>
      </c>
      <c r="M77" s="109">
        <v>1</v>
      </c>
      <c r="N77" s="107">
        <f t="shared" si="9"/>
        <v>153000000</v>
      </c>
      <c r="O77" s="109">
        <v>1275000</v>
      </c>
      <c r="P77" s="109">
        <v>40</v>
      </c>
      <c r="Q77" s="109">
        <v>3</v>
      </c>
      <c r="R77" s="109">
        <v>1</v>
      </c>
      <c r="S77" s="109">
        <v>1</v>
      </c>
      <c r="T77" s="107">
        <f t="shared" si="1"/>
        <v>153000000</v>
      </c>
      <c r="U77" s="109">
        <v>1275000</v>
      </c>
      <c r="V77" s="109">
        <v>40</v>
      </c>
      <c r="W77" s="109">
        <v>3</v>
      </c>
      <c r="X77" s="109">
        <v>1</v>
      </c>
      <c r="Y77" s="109">
        <v>1</v>
      </c>
      <c r="Z77" s="107">
        <f t="shared" si="2"/>
        <v>153000000</v>
      </c>
      <c r="AA77" s="109">
        <v>1275000</v>
      </c>
      <c r="AB77" s="109">
        <v>40</v>
      </c>
      <c r="AC77" s="109">
        <v>3</v>
      </c>
      <c r="AD77" s="109">
        <v>1</v>
      </c>
      <c r="AE77" s="109">
        <v>1</v>
      </c>
      <c r="AF77" s="107">
        <f t="shared" si="3"/>
        <v>153000000</v>
      </c>
      <c r="AG77" s="109">
        <v>1275000</v>
      </c>
      <c r="AH77" s="109">
        <v>40</v>
      </c>
      <c r="AI77" s="109">
        <v>3</v>
      </c>
      <c r="AJ77" s="109">
        <v>1</v>
      </c>
      <c r="AK77" s="109">
        <v>1</v>
      </c>
      <c r="AL77" s="107">
        <f t="shared" si="4"/>
        <v>153000000</v>
      </c>
    </row>
    <row r="78" spans="1:38" ht="56.25">
      <c r="A78" s="212" t="s">
        <v>134</v>
      </c>
      <c r="B78" s="212" t="s">
        <v>89</v>
      </c>
      <c r="C78" s="141"/>
      <c r="D78" s="222" t="s">
        <v>383</v>
      </c>
      <c r="E78" s="214" t="s">
        <v>384</v>
      </c>
      <c r="F78" s="215" t="s">
        <v>494</v>
      </c>
      <c r="G78" s="239" t="s">
        <v>322</v>
      </c>
      <c r="H78" s="219" t="s">
        <v>552</v>
      </c>
      <c r="I78" s="109">
        <v>4166667</v>
      </c>
      <c r="J78" s="109">
        <v>3</v>
      </c>
      <c r="K78" s="109">
        <v>3</v>
      </c>
      <c r="L78" s="109">
        <v>1</v>
      </c>
      <c r="M78" s="109">
        <v>1</v>
      </c>
      <c r="N78" s="107">
        <f t="shared" si="9"/>
        <v>37500003</v>
      </c>
      <c r="O78" s="109">
        <v>4166667</v>
      </c>
      <c r="P78" s="109">
        <v>3</v>
      </c>
      <c r="Q78" s="109">
        <v>3</v>
      </c>
      <c r="R78" s="109">
        <v>1</v>
      </c>
      <c r="S78" s="109">
        <v>1</v>
      </c>
      <c r="T78" s="107">
        <f t="shared" si="1"/>
        <v>37500003</v>
      </c>
      <c r="U78" s="109">
        <v>4166667</v>
      </c>
      <c r="V78" s="109">
        <v>3</v>
      </c>
      <c r="W78" s="109">
        <v>3</v>
      </c>
      <c r="X78" s="109">
        <v>1</v>
      </c>
      <c r="Y78" s="109">
        <v>1</v>
      </c>
      <c r="Z78" s="107">
        <f t="shared" si="2"/>
        <v>37500003</v>
      </c>
      <c r="AA78" s="109">
        <v>4166667</v>
      </c>
      <c r="AB78" s="109">
        <v>3</v>
      </c>
      <c r="AC78" s="109">
        <v>3</v>
      </c>
      <c r="AD78" s="109">
        <v>1</v>
      </c>
      <c r="AE78" s="109">
        <v>1</v>
      </c>
      <c r="AF78" s="107">
        <f t="shared" si="3"/>
        <v>37500003</v>
      </c>
      <c r="AG78" s="109">
        <v>4166667</v>
      </c>
      <c r="AH78" s="109">
        <v>3</v>
      </c>
      <c r="AI78" s="109">
        <v>3</v>
      </c>
      <c r="AJ78" s="109">
        <v>1</v>
      </c>
      <c r="AK78" s="109">
        <v>1</v>
      </c>
      <c r="AL78" s="107">
        <f t="shared" si="4"/>
        <v>37500003</v>
      </c>
    </row>
    <row r="79" spans="1:38" ht="56.25">
      <c r="A79" s="212" t="s">
        <v>134</v>
      </c>
      <c r="B79" s="212" t="s">
        <v>89</v>
      </c>
      <c r="C79" s="141"/>
      <c r="D79" s="222" t="s">
        <v>383</v>
      </c>
      <c r="E79" s="214" t="s">
        <v>385</v>
      </c>
      <c r="F79" s="215" t="s">
        <v>494</v>
      </c>
      <c r="G79" s="217" t="s">
        <v>322</v>
      </c>
      <c r="H79" s="219" t="s">
        <v>553</v>
      </c>
      <c r="I79" s="109">
        <v>651091</v>
      </c>
      <c r="J79" s="109">
        <v>26</v>
      </c>
      <c r="K79" s="109">
        <v>3</v>
      </c>
      <c r="L79" s="109">
        <v>1</v>
      </c>
      <c r="M79" s="109">
        <v>1</v>
      </c>
      <c r="N79" s="107">
        <f t="shared" si="9"/>
        <v>50785098</v>
      </c>
      <c r="O79" s="109">
        <v>651091</v>
      </c>
      <c r="P79" s="109">
        <v>26</v>
      </c>
      <c r="Q79" s="109">
        <v>3</v>
      </c>
      <c r="R79" s="109">
        <v>1</v>
      </c>
      <c r="S79" s="109">
        <v>1</v>
      </c>
      <c r="T79" s="107">
        <f t="shared" si="1"/>
        <v>50785098</v>
      </c>
      <c r="U79" s="109">
        <v>651091</v>
      </c>
      <c r="V79" s="109">
        <v>26</v>
      </c>
      <c r="W79" s="109">
        <v>3</v>
      </c>
      <c r="X79" s="109">
        <v>1</v>
      </c>
      <c r="Y79" s="109">
        <v>1</v>
      </c>
      <c r="Z79" s="107">
        <f t="shared" si="2"/>
        <v>50785098</v>
      </c>
      <c r="AA79" s="109">
        <v>651091</v>
      </c>
      <c r="AB79" s="109">
        <v>26</v>
      </c>
      <c r="AC79" s="109">
        <v>3</v>
      </c>
      <c r="AD79" s="109">
        <v>1</v>
      </c>
      <c r="AE79" s="109">
        <v>1</v>
      </c>
      <c r="AF79" s="107">
        <f t="shared" si="3"/>
        <v>50785098</v>
      </c>
      <c r="AG79" s="109">
        <v>651091</v>
      </c>
      <c r="AH79" s="109">
        <v>26</v>
      </c>
      <c r="AI79" s="109">
        <v>3</v>
      </c>
      <c r="AJ79" s="109">
        <v>1</v>
      </c>
      <c r="AK79" s="109">
        <v>1</v>
      </c>
      <c r="AL79" s="107">
        <f t="shared" si="4"/>
        <v>50785098</v>
      </c>
    </row>
    <row r="80" spans="1:38" ht="56.25">
      <c r="A80" s="212" t="s">
        <v>134</v>
      </c>
      <c r="B80" s="212" t="s">
        <v>89</v>
      </c>
      <c r="C80" s="141"/>
      <c r="D80" s="222" t="s">
        <v>386</v>
      </c>
      <c r="E80" s="214" t="s">
        <v>387</v>
      </c>
      <c r="F80" s="215" t="s">
        <v>494</v>
      </c>
      <c r="G80" s="217" t="s">
        <v>322</v>
      </c>
      <c r="H80" s="219" t="s">
        <v>553</v>
      </c>
      <c r="I80" s="109">
        <v>1178309</v>
      </c>
      <c r="J80" s="109">
        <v>306</v>
      </c>
      <c r="K80" s="109">
        <v>2</v>
      </c>
      <c r="L80" s="109">
        <v>1</v>
      </c>
      <c r="M80" s="109">
        <v>1</v>
      </c>
      <c r="N80" s="107">
        <f t="shared" si="9"/>
        <v>721125108</v>
      </c>
      <c r="O80" s="109">
        <v>1178309</v>
      </c>
      <c r="P80" s="109">
        <v>306</v>
      </c>
      <c r="Q80" s="109">
        <v>2</v>
      </c>
      <c r="R80" s="109">
        <v>1</v>
      </c>
      <c r="S80" s="109">
        <v>1</v>
      </c>
      <c r="T80" s="107">
        <f t="shared" ref="T80:T143" si="10">PRODUCT(O80:S80)</f>
        <v>721125108</v>
      </c>
      <c r="U80" s="109">
        <v>1178309</v>
      </c>
      <c r="V80" s="109">
        <v>306</v>
      </c>
      <c r="W80" s="109">
        <v>2</v>
      </c>
      <c r="X80" s="109">
        <v>1</v>
      </c>
      <c r="Y80" s="109">
        <v>1</v>
      </c>
      <c r="Z80" s="107">
        <f t="shared" ref="Z80:Z143" si="11">PRODUCT(U80:Y80)</f>
        <v>721125108</v>
      </c>
      <c r="AA80" s="109">
        <v>1178309</v>
      </c>
      <c r="AB80" s="109">
        <v>306</v>
      </c>
      <c r="AC80" s="109">
        <v>2</v>
      </c>
      <c r="AD80" s="109">
        <v>1</v>
      </c>
      <c r="AE80" s="109">
        <v>1</v>
      </c>
      <c r="AF80" s="107">
        <f t="shared" ref="AF80:AF143" si="12">PRODUCT(AA80:AE80)</f>
        <v>721125108</v>
      </c>
      <c r="AG80" s="109">
        <v>1178309</v>
      </c>
      <c r="AH80" s="109">
        <v>306</v>
      </c>
      <c r="AI80" s="109">
        <v>2</v>
      </c>
      <c r="AJ80" s="109">
        <v>1</v>
      </c>
      <c r="AK80" s="109">
        <v>1</v>
      </c>
      <c r="AL80" s="107">
        <f t="shared" ref="AL80:AL143" si="13">PRODUCT(AG80:AK80)</f>
        <v>721125108</v>
      </c>
    </row>
    <row r="81" spans="1:38" ht="56.25">
      <c r="A81" s="212" t="s">
        <v>134</v>
      </c>
      <c r="B81" s="212" t="s">
        <v>89</v>
      </c>
      <c r="C81" s="141"/>
      <c r="D81" s="222" t="s">
        <v>386</v>
      </c>
      <c r="E81" s="214" t="s">
        <v>634</v>
      </c>
      <c r="F81" s="215" t="s">
        <v>494</v>
      </c>
      <c r="G81" s="217" t="s">
        <v>322</v>
      </c>
      <c r="H81" s="219" t="s">
        <v>535</v>
      </c>
      <c r="I81" s="109">
        <v>1201250</v>
      </c>
      <c r="J81" s="109">
        <v>76</v>
      </c>
      <c r="K81" s="109">
        <v>4</v>
      </c>
      <c r="L81" s="109">
        <v>1</v>
      </c>
      <c r="M81" s="109">
        <v>1</v>
      </c>
      <c r="N81" s="107">
        <f t="shared" si="9"/>
        <v>365180000</v>
      </c>
      <c r="O81" s="109">
        <v>1201250</v>
      </c>
      <c r="P81" s="109">
        <v>76</v>
      </c>
      <c r="Q81" s="109">
        <v>4</v>
      </c>
      <c r="R81" s="109">
        <v>1</v>
      </c>
      <c r="S81" s="109">
        <v>1</v>
      </c>
      <c r="T81" s="107">
        <f t="shared" si="10"/>
        <v>365180000</v>
      </c>
      <c r="U81" s="109">
        <v>1201250</v>
      </c>
      <c r="V81" s="109">
        <v>76</v>
      </c>
      <c r="W81" s="109">
        <v>4</v>
      </c>
      <c r="X81" s="109">
        <v>1</v>
      </c>
      <c r="Y81" s="109">
        <v>1</v>
      </c>
      <c r="Z81" s="107">
        <f t="shared" si="11"/>
        <v>365180000</v>
      </c>
      <c r="AA81" s="109">
        <v>1201250</v>
      </c>
      <c r="AB81" s="109">
        <v>76</v>
      </c>
      <c r="AC81" s="109">
        <v>4</v>
      </c>
      <c r="AD81" s="109">
        <v>1</v>
      </c>
      <c r="AE81" s="109">
        <v>1</v>
      </c>
      <c r="AF81" s="107">
        <f t="shared" si="12"/>
        <v>365180000</v>
      </c>
      <c r="AG81" s="109">
        <v>1201250</v>
      </c>
      <c r="AH81" s="109">
        <v>76</v>
      </c>
      <c r="AI81" s="109">
        <v>4</v>
      </c>
      <c r="AJ81" s="109">
        <v>1</v>
      </c>
      <c r="AK81" s="109">
        <v>1</v>
      </c>
      <c r="AL81" s="107">
        <f t="shared" si="13"/>
        <v>365180000</v>
      </c>
    </row>
    <row r="82" spans="1:38" ht="123.75">
      <c r="A82" s="212" t="s">
        <v>134</v>
      </c>
      <c r="B82" s="212" t="s">
        <v>91</v>
      </c>
      <c r="C82" s="141"/>
      <c r="D82" s="222" t="s">
        <v>388</v>
      </c>
      <c r="E82" s="214" t="s">
        <v>598</v>
      </c>
      <c r="F82" s="215" t="s">
        <v>494</v>
      </c>
      <c r="G82" s="239" t="s">
        <v>322</v>
      </c>
      <c r="H82" s="219"/>
      <c r="I82" s="109">
        <v>3200000</v>
      </c>
      <c r="J82" s="109">
        <v>1</v>
      </c>
      <c r="K82" s="109">
        <v>1</v>
      </c>
      <c r="L82" s="109">
        <v>1</v>
      </c>
      <c r="M82" s="109">
        <v>1</v>
      </c>
      <c r="N82" s="107">
        <f t="shared" si="9"/>
        <v>3200000</v>
      </c>
      <c r="O82" s="109">
        <v>3200000</v>
      </c>
      <c r="P82" s="109">
        <v>1</v>
      </c>
      <c r="Q82" s="109">
        <v>1</v>
      </c>
      <c r="R82" s="109">
        <v>1</v>
      </c>
      <c r="S82" s="109">
        <v>1</v>
      </c>
      <c r="T82" s="107">
        <f t="shared" si="10"/>
        <v>3200000</v>
      </c>
      <c r="U82" s="109">
        <v>3200000</v>
      </c>
      <c r="V82" s="109">
        <v>1</v>
      </c>
      <c r="W82" s="109">
        <v>1</v>
      </c>
      <c r="X82" s="109">
        <v>1</v>
      </c>
      <c r="Y82" s="109">
        <v>1</v>
      </c>
      <c r="Z82" s="107">
        <f t="shared" si="11"/>
        <v>3200000</v>
      </c>
      <c r="AA82" s="109">
        <v>3200000</v>
      </c>
      <c r="AB82" s="109">
        <v>1</v>
      </c>
      <c r="AC82" s="109">
        <v>1</v>
      </c>
      <c r="AD82" s="109">
        <v>1</v>
      </c>
      <c r="AE82" s="109">
        <v>1</v>
      </c>
      <c r="AF82" s="107">
        <f t="shared" si="12"/>
        <v>3200000</v>
      </c>
      <c r="AG82" s="109">
        <v>3200000</v>
      </c>
      <c r="AH82" s="109">
        <v>1</v>
      </c>
      <c r="AI82" s="109">
        <v>1</v>
      </c>
      <c r="AJ82" s="109">
        <v>1</v>
      </c>
      <c r="AK82" s="109">
        <v>1</v>
      </c>
      <c r="AL82" s="107">
        <f t="shared" si="13"/>
        <v>3200000</v>
      </c>
    </row>
    <row r="83" spans="1:38" ht="123.75">
      <c r="A83" s="212" t="s">
        <v>134</v>
      </c>
      <c r="B83" s="212" t="s">
        <v>91</v>
      </c>
      <c r="C83" s="141"/>
      <c r="D83" s="222" t="s">
        <v>388</v>
      </c>
      <c r="E83" s="214" t="s">
        <v>599</v>
      </c>
      <c r="F83" s="215" t="s">
        <v>494</v>
      </c>
      <c r="G83" s="239" t="s">
        <v>322</v>
      </c>
      <c r="H83" s="219"/>
      <c r="I83" s="109">
        <v>3200000</v>
      </c>
      <c r="J83" s="109">
        <v>1</v>
      </c>
      <c r="K83" s="109">
        <v>1</v>
      </c>
      <c r="L83" s="109">
        <v>1</v>
      </c>
      <c r="M83" s="109">
        <v>1</v>
      </c>
      <c r="N83" s="107">
        <f t="shared" si="9"/>
        <v>3200000</v>
      </c>
      <c r="O83" s="109">
        <v>3200000</v>
      </c>
      <c r="P83" s="109">
        <v>1</v>
      </c>
      <c r="Q83" s="109">
        <v>1</v>
      </c>
      <c r="R83" s="109">
        <v>1</v>
      </c>
      <c r="S83" s="109">
        <v>1</v>
      </c>
      <c r="T83" s="107">
        <f t="shared" si="10"/>
        <v>3200000</v>
      </c>
      <c r="U83" s="109">
        <v>3200000</v>
      </c>
      <c r="V83" s="109">
        <v>1</v>
      </c>
      <c r="W83" s="109">
        <v>1</v>
      </c>
      <c r="X83" s="109">
        <v>1</v>
      </c>
      <c r="Y83" s="109">
        <v>1</v>
      </c>
      <c r="Z83" s="107">
        <f t="shared" si="11"/>
        <v>3200000</v>
      </c>
      <c r="AA83" s="109">
        <v>3200000</v>
      </c>
      <c r="AB83" s="109">
        <v>1</v>
      </c>
      <c r="AC83" s="109">
        <v>1</v>
      </c>
      <c r="AD83" s="109">
        <v>1</v>
      </c>
      <c r="AE83" s="109">
        <v>1</v>
      </c>
      <c r="AF83" s="107">
        <f t="shared" si="12"/>
        <v>3200000</v>
      </c>
      <c r="AG83" s="109">
        <v>3200000</v>
      </c>
      <c r="AH83" s="109">
        <v>1</v>
      </c>
      <c r="AI83" s="109">
        <v>1</v>
      </c>
      <c r="AJ83" s="109">
        <v>1</v>
      </c>
      <c r="AK83" s="109">
        <v>1</v>
      </c>
      <c r="AL83" s="107">
        <f t="shared" si="13"/>
        <v>3200000</v>
      </c>
    </row>
    <row r="84" spans="1:38" ht="56.25">
      <c r="A84" s="212" t="s">
        <v>134</v>
      </c>
      <c r="B84" s="212" t="s">
        <v>91</v>
      </c>
      <c r="C84" s="141"/>
      <c r="D84" s="222" t="s">
        <v>389</v>
      </c>
      <c r="E84" s="214" t="s">
        <v>390</v>
      </c>
      <c r="F84" s="215" t="s">
        <v>494</v>
      </c>
      <c r="G84" s="217" t="s">
        <v>322</v>
      </c>
      <c r="H84" s="219" t="s">
        <v>553</v>
      </c>
      <c r="I84" s="109">
        <v>461667</v>
      </c>
      <c r="J84" s="109">
        <v>20</v>
      </c>
      <c r="K84" s="109">
        <v>3</v>
      </c>
      <c r="L84" s="109">
        <v>1</v>
      </c>
      <c r="M84" s="109">
        <v>1</v>
      </c>
      <c r="N84" s="107">
        <f t="shared" si="9"/>
        <v>27700020</v>
      </c>
      <c r="O84" s="109">
        <v>461667</v>
      </c>
      <c r="P84" s="109">
        <v>20</v>
      </c>
      <c r="Q84" s="109">
        <v>3</v>
      </c>
      <c r="R84" s="109">
        <v>1</v>
      </c>
      <c r="S84" s="109">
        <v>1</v>
      </c>
      <c r="T84" s="107">
        <f t="shared" si="10"/>
        <v>27700020</v>
      </c>
      <c r="U84" s="109">
        <v>461667</v>
      </c>
      <c r="V84" s="109">
        <v>20</v>
      </c>
      <c r="W84" s="109">
        <v>3</v>
      </c>
      <c r="X84" s="109">
        <v>1</v>
      </c>
      <c r="Y84" s="109">
        <v>1</v>
      </c>
      <c r="Z84" s="107">
        <f t="shared" si="11"/>
        <v>27700020</v>
      </c>
      <c r="AA84" s="109">
        <v>461667</v>
      </c>
      <c r="AB84" s="109">
        <v>20</v>
      </c>
      <c r="AC84" s="109">
        <v>3</v>
      </c>
      <c r="AD84" s="109">
        <v>1</v>
      </c>
      <c r="AE84" s="109">
        <v>1</v>
      </c>
      <c r="AF84" s="107">
        <f t="shared" si="12"/>
        <v>27700020</v>
      </c>
      <c r="AG84" s="109">
        <v>461667</v>
      </c>
      <c r="AH84" s="109">
        <v>20</v>
      </c>
      <c r="AI84" s="109">
        <v>3</v>
      </c>
      <c r="AJ84" s="109">
        <v>1</v>
      </c>
      <c r="AK84" s="109">
        <v>1</v>
      </c>
      <c r="AL84" s="107">
        <f t="shared" si="13"/>
        <v>27700020</v>
      </c>
    </row>
    <row r="85" spans="1:38" ht="33.75">
      <c r="A85" s="212" t="s">
        <v>134</v>
      </c>
      <c r="B85" s="212" t="s">
        <v>91</v>
      </c>
      <c r="C85" s="141"/>
      <c r="D85" s="222" t="s">
        <v>389</v>
      </c>
      <c r="E85" s="214" t="s">
        <v>511</v>
      </c>
      <c r="F85" s="215" t="s">
        <v>494</v>
      </c>
      <c r="G85" s="217" t="s">
        <v>322</v>
      </c>
      <c r="H85" s="219" t="s">
        <v>554</v>
      </c>
      <c r="I85" s="109">
        <v>4166667</v>
      </c>
      <c r="J85" s="109">
        <v>3</v>
      </c>
      <c r="K85" s="109">
        <v>3</v>
      </c>
      <c r="L85" s="109">
        <v>1</v>
      </c>
      <c r="M85" s="109">
        <v>1</v>
      </c>
      <c r="N85" s="107">
        <f t="shared" si="9"/>
        <v>37500003</v>
      </c>
      <c r="O85" s="109">
        <v>4166667</v>
      </c>
      <c r="P85" s="109">
        <v>3</v>
      </c>
      <c r="Q85" s="109">
        <v>3</v>
      </c>
      <c r="R85" s="109">
        <v>1</v>
      </c>
      <c r="S85" s="109">
        <v>1</v>
      </c>
      <c r="T85" s="107">
        <f t="shared" si="10"/>
        <v>37500003</v>
      </c>
      <c r="U85" s="109">
        <v>4166667</v>
      </c>
      <c r="V85" s="109">
        <v>3</v>
      </c>
      <c r="W85" s="109">
        <v>3</v>
      </c>
      <c r="X85" s="109">
        <v>1</v>
      </c>
      <c r="Y85" s="109">
        <v>1</v>
      </c>
      <c r="Z85" s="107">
        <f t="shared" si="11"/>
        <v>37500003</v>
      </c>
      <c r="AA85" s="109">
        <v>4166667</v>
      </c>
      <c r="AB85" s="109">
        <v>3</v>
      </c>
      <c r="AC85" s="109">
        <v>3</v>
      </c>
      <c r="AD85" s="109">
        <v>1</v>
      </c>
      <c r="AE85" s="109">
        <v>1</v>
      </c>
      <c r="AF85" s="107">
        <f t="shared" si="12"/>
        <v>37500003</v>
      </c>
      <c r="AG85" s="109">
        <v>4166667</v>
      </c>
      <c r="AH85" s="109">
        <v>3</v>
      </c>
      <c r="AI85" s="109">
        <v>3</v>
      </c>
      <c r="AJ85" s="109">
        <v>1</v>
      </c>
      <c r="AK85" s="109">
        <v>1</v>
      </c>
      <c r="AL85" s="107">
        <f t="shared" si="13"/>
        <v>37500003</v>
      </c>
    </row>
    <row r="86" spans="1:38" ht="33.75">
      <c r="A86" s="212" t="s">
        <v>134</v>
      </c>
      <c r="B86" s="212" t="s">
        <v>91</v>
      </c>
      <c r="C86" s="141"/>
      <c r="D86" s="222" t="s">
        <v>391</v>
      </c>
      <c r="E86" s="214" t="s">
        <v>392</v>
      </c>
      <c r="F86" s="215" t="s">
        <v>494</v>
      </c>
      <c r="G86" s="217" t="s">
        <v>322</v>
      </c>
      <c r="H86" s="219" t="s">
        <v>554</v>
      </c>
      <c r="I86" s="109">
        <v>29000000</v>
      </c>
      <c r="J86" s="109">
        <v>1</v>
      </c>
      <c r="K86" s="109">
        <v>1</v>
      </c>
      <c r="L86" s="109">
        <v>1</v>
      </c>
      <c r="M86" s="109">
        <v>1</v>
      </c>
      <c r="N86" s="107">
        <f t="shared" si="9"/>
        <v>29000000</v>
      </c>
      <c r="O86" s="109"/>
      <c r="P86" s="109"/>
      <c r="Q86" s="109"/>
      <c r="R86" s="109"/>
      <c r="S86" s="109"/>
      <c r="T86" s="107">
        <f t="shared" si="10"/>
        <v>0</v>
      </c>
      <c r="U86" s="109"/>
      <c r="V86" s="109"/>
      <c r="W86" s="109"/>
      <c r="X86" s="109"/>
      <c r="Y86" s="109"/>
      <c r="Z86" s="107">
        <f t="shared" si="11"/>
        <v>0</v>
      </c>
      <c r="AA86" s="109"/>
      <c r="AB86" s="109"/>
      <c r="AC86" s="109"/>
      <c r="AD86" s="109"/>
      <c r="AE86" s="109"/>
      <c r="AF86" s="107">
        <f t="shared" si="12"/>
        <v>0</v>
      </c>
      <c r="AG86" s="109"/>
      <c r="AH86" s="109"/>
      <c r="AI86" s="109"/>
      <c r="AJ86" s="109"/>
      <c r="AK86" s="109"/>
      <c r="AL86" s="107">
        <f t="shared" si="13"/>
        <v>0</v>
      </c>
    </row>
    <row r="87" spans="1:38" ht="45">
      <c r="A87" s="212" t="s">
        <v>134</v>
      </c>
      <c r="B87" s="212" t="s">
        <v>91</v>
      </c>
      <c r="C87" s="141"/>
      <c r="D87" s="222" t="s">
        <v>391</v>
      </c>
      <c r="E87" s="214" t="s">
        <v>393</v>
      </c>
      <c r="F87" s="215" t="s">
        <v>494</v>
      </c>
      <c r="G87" s="217" t="s">
        <v>322</v>
      </c>
      <c r="H87" s="219" t="s">
        <v>553</v>
      </c>
      <c r="I87" s="109">
        <v>294000</v>
      </c>
      <c r="J87" s="109">
        <v>25</v>
      </c>
      <c r="K87" s="109">
        <v>1</v>
      </c>
      <c r="L87" s="109">
        <v>38</v>
      </c>
      <c r="M87" s="109">
        <v>1</v>
      </c>
      <c r="N87" s="107">
        <f t="shared" si="9"/>
        <v>279300000</v>
      </c>
      <c r="O87" s="109">
        <v>294000</v>
      </c>
      <c r="P87" s="109">
        <v>25</v>
      </c>
      <c r="Q87" s="109">
        <v>1</v>
      </c>
      <c r="R87" s="109">
        <v>38</v>
      </c>
      <c r="S87" s="109">
        <v>1</v>
      </c>
      <c r="T87" s="107">
        <f t="shared" si="10"/>
        <v>279300000</v>
      </c>
      <c r="U87" s="109">
        <v>294000</v>
      </c>
      <c r="V87" s="109">
        <v>25</v>
      </c>
      <c r="W87" s="109">
        <v>1</v>
      </c>
      <c r="X87" s="109">
        <v>38</v>
      </c>
      <c r="Y87" s="109">
        <v>1</v>
      </c>
      <c r="Z87" s="107">
        <f t="shared" si="11"/>
        <v>279300000</v>
      </c>
      <c r="AA87" s="109">
        <v>294000</v>
      </c>
      <c r="AB87" s="109">
        <v>25</v>
      </c>
      <c r="AC87" s="109">
        <v>1</v>
      </c>
      <c r="AD87" s="109">
        <v>38</v>
      </c>
      <c r="AE87" s="109">
        <v>1</v>
      </c>
      <c r="AF87" s="107">
        <f t="shared" si="12"/>
        <v>279300000</v>
      </c>
      <c r="AG87" s="109">
        <v>294000</v>
      </c>
      <c r="AH87" s="109">
        <v>25</v>
      </c>
      <c r="AI87" s="109">
        <v>1</v>
      </c>
      <c r="AJ87" s="109">
        <v>38</v>
      </c>
      <c r="AK87" s="109">
        <v>1</v>
      </c>
      <c r="AL87" s="107">
        <f t="shared" si="13"/>
        <v>279300000</v>
      </c>
    </row>
    <row r="88" spans="1:38" s="242" customFormat="1" ht="56.25">
      <c r="A88" s="237" t="s">
        <v>139</v>
      </c>
      <c r="B88" s="237" t="s">
        <v>87</v>
      </c>
      <c r="C88" s="238"/>
      <c r="D88" s="222" t="s">
        <v>394</v>
      </c>
      <c r="E88" s="214" t="s">
        <v>395</v>
      </c>
      <c r="F88" s="215" t="s">
        <v>494</v>
      </c>
      <c r="G88" s="239" t="s">
        <v>322</v>
      </c>
      <c r="H88" s="219"/>
      <c r="I88" s="240">
        <v>294000</v>
      </c>
      <c r="J88" s="240">
        <v>25</v>
      </c>
      <c r="K88" s="240">
        <v>1</v>
      </c>
      <c r="L88" s="240">
        <v>1</v>
      </c>
      <c r="M88" s="240">
        <v>1</v>
      </c>
      <c r="N88" s="241">
        <f t="shared" si="9"/>
        <v>7350000</v>
      </c>
      <c r="O88" s="240"/>
      <c r="P88" s="240"/>
      <c r="Q88" s="240"/>
      <c r="R88" s="240"/>
      <c r="S88" s="240"/>
      <c r="T88" s="241">
        <f t="shared" si="10"/>
        <v>0</v>
      </c>
      <c r="U88" s="240"/>
      <c r="V88" s="240"/>
      <c r="W88" s="240"/>
      <c r="X88" s="240"/>
      <c r="Y88" s="240"/>
      <c r="Z88" s="241">
        <f t="shared" si="11"/>
        <v>0</v>
      </c>
      <c r="AA88" s="240"/>
      <c r="AB88" s="240"/>
      <c r="AC88" s="240"/>
      <c r="AD88" s="240"/>
      <c r="AE88" s="240"/>
      <c r="AF88" s="241">
        <f t="shared" si="12"/>
        <v>0</v>
      </c>
      <c r="AG88" s="240"/>
      <c r="AH88" s="240"/>
      <c r="AI88" s="240"/>
      <c r="AJ88" s="240"/>
      <c r="AK88" s="240"/>
      <c r="AL88" s="241">
        <f t="shared" si="13"/>
        <v>0</v>
      </c>
    </row>
    <row r="89" spans="1:38" ht="56.25">
      <c r="A89" s="212" t="s">
        <v>139</v>
      </c>
      <c r="B89" s="212" t="s">
        <v>87</v>
      </c>
      <c r="C89" s="141"/>
      <c r="D89" s="222" t="s">
        <v>394</v>
      </c>
      <c r="E89" s="214" t="s">
        <v>396</v>
      </c>
      <c r="F89" s="215" t="s">
        <v>494</v>
      </c>
      <c r="G89" s="217" t="s">
        <v>322</v>
      </c>
      <c r="H89" s="219" t="s">
        <v>542</v>
      </c>
      <c r="I89" s="109">
        <v>294000</v>
      </c>
      <c r="J89" s="109">
        <v>25</v>
      </c>
      <c r="K89" s="109">
        <v>1</v>
      </c>
      <c r="L89" s="109">
        <v>1</v>
      </c>
      <c r="M89" s="109">
        <v>1</v>
      </c>
      <c r="N89" s="107">
        <f t="shared" si="9"/>
        <v>7350000</v>
      </c>
      <c r="O89" s="109"/>
      <c r="P89" s="109"/>
      <c r="Q89" s="109"/>
      <c r="R89" s="109"/>
      <c r="S89" s="109"/>
      <c r="T89" s="107">
        <f t="shared" si="10"/>
        <v>0</v>
      </c>
      <c r="U89" s="109"/>
      <c r="V89" s="109"/>
      <c r="W89" s="109"/>
      <c r="X89" s="109"/>
      <c r="Y89" s="109"/>
      <c r="Z89" s="107">
        <f t="shared" si="11"/>
        <v>0</v>
      </c>
      <c r="AA89" s="109"/>
      <c r="AB89" s="109"/>
      <c r="AC89" s="109"/>
      <c r="AD89" s="109"/>
      <c r="AE89" s="109"/>
      <c r="AF89" s="107">
        <f t="shared" si="12"/>
        <v>0</v>
      </c>
      <c r="AG89" s="109"/>
      <c r="AH89" s="109"/>
      <c r="AI89" s="109"/>
      <c r="AJ89" s="109"/>
      <c r="AK89" s="109"/>
      <c r="AL89" s="107">
        <f t="shared" si="13"/>
        <v>0</v>
      </c>
    </row>
    <row r="90" spans="1:38" ht="33.75">
      <c r="A90" s="212" t="s">
        <v>139</v>
      </c>
      <c r="B90" s="212" t="s">
        <v>87</v>
      </c>
      <c r="C90" s="141"/>
      <c r="D90" s="222" t="s">
        <v>397</v>
      </c>
      <c r="E90" s="214" t="s">
        <v>398</v>
      </c>
      <c r="F90" s="149" t="s">
        <v>487</v>
      </c>
      <c r="G90" s="239" t="s">
        <v>517</v>
      </c>
      <c r="H90" s="219" t="s">
        <v>542</v>
      </c>
      <c r="I90" s="109"/>
      <c r="J90" s="109"/>
      <c r="K90" s="109"/>
      <c r="L90" s="109"/>
      <c r="M90" s="109"/>
      <c r="N90" s="107">
        <f t="shared" si="9"/>
        <v>0</v>
      </c>
      <c r="O90" s="109"/>
      <c r="P90" s="109"/>
      <c r="Q90" s="109"/>
      <c r="R90" s="109"/>
      <c r="S90" s="109"/>
      <c r="T90" s="107">
        <f t="shared" si="10"/>
        <v>0</v>
      </c>
      <c r="U90" s="109"/>
      <c r="V90" s="109"/>
      <c r="W90" s="109"/>
      <c r="X90" s="109"/>
      <c r="Y90" s="109"/>
      <c r="Z90" s="107">
        <f t="shared" si="11"/>
        <v>0</v>
      </c>
      <c r="AA90" s="109"/>
      <c r="AB90" s="109"/>
      <c r="AC90" s="109"/>
      <c r="AD90" s="109"/>
      <c r="AE90" s="109"/>
      <c r="AF90" s="107">
        <f t="shared" si="12"/>
        <v>0</v>
      </c>
      <c r="AG90" s="109"/>
      <c r="AH90" s="109"/>
      <c r="AI90" s="109"/>
      <c r="AJ90" s="109"/>
      <c r="AK90" s="109"/>
      <c r="AL90" s="107">
        <f t="shared" si="13"/>
        <v>0</v>
      </c>
    </row>
    <row r="91" spans="1:38" ht="67.5">
      <c r="A91" s="212" t="s">
        <v>139</v>
      </c>
      <c r="B91" s="212" t="s">
        <v>87</v>
      </c>
      <c r="C91" s="141"/>
      <c r="D91" s="222" t="s">
        <v>397</v>
      </c>
      <c r="E91" s="214" t="s">
        <v>399</v>
      </c>
      <c r="F91" s="149" t="s">
        <v>487</v>
      </c>
      <c r="G91" s="227" t="s">
        <v>513</v>
      </c>
      <c r="H91" s="219" t="s">
        <v>542</v>
      </c>
      <c r="I91" s="109"/>
      <c r="J91" s="109"/>
      <c r="K91" s="109"/>
      <c r="L91" s="109"/>
      <c r="M91" s="109"/>
      <c r="N91" s="107">
        <f t="shared" si="9"/>
        <v>0</v>
      </c>
      <c r="O91" s="109"/>
      <c r="P91" s="109"/>
      <c r="Q91" s="109"/>
      <c r="R91" s="109"/>
      <c r="S91" s="109"/>
      <c r="T91" s="107">
        <f t="shared" si="10"/>
        <v>0</v>
      </c>
      <c r="U91" s="109"/>
      <c r="V91" s="109"/>
      <c r="W91" s="109"/>
      <c r="X91" s="109"/>
      <c r="Y91" s="109"/>
      <c r="Z91" s="107">
        <f t="shared" si="11"/>
        <v>0</v>
      </c>
      <c r="AA91" s="109"/>
      <c r="AB91" s="109"/>
      <c r="AC91" s="109"/>
      <c r="AD91" s="109"/>
      <c r="AE91" s="109"/>
      <c r="AF91" s="107">
        <f t="shared" si="12"/>
        <v>0</v>
      </c>
      <c r="AG91" s="109"/>
      <c r="AH91" s="109"/>
      <c r="AI91" s="109"/>
      <c r="AJ91" s="109"/>
      <c r="AK91" s="109"/>
      <c r="AL91" s="107">
        <f t="shared" si="13"/>
        <v>0</v>
      </c>
    </row>
    <row r="92" spans="1:38" ht="33.75">
      <c r="A92" s="212" t="s">
        <v>139</v>
      </c>
      <c r="B92" s="212" t="s">
        <v>87</v>
      </c>
      <c r="C92" s="141"/>
      <c r="D92" s="222" t="s">
        <v>397</v>
      </c>
      <c r="E92" s="214" t="s">
        <v>400</v>
      </c>
      <c r="F92" s="149" t="s">
        <v>488</v>
      </c>
      <c r="G92" s="217" t="s">
        <v>512</v>
      </c>
      <c r="H92" s="219" t="s">
        <v>542</v>
      </c>
      <c r="I92" s="109"/>
      <c r="J92" s="109"/>
      <c r="K92" s="109"/>
      <c r="L92" s="109"/>
      <c r="M92" s="109"/>
      <c r="N92" s="107">
        <f t="shared" si="9"/>
        <v>0</v>
      </c>
      <c r="O92" s="109"/>
      <c r="P92" s="109"/>
      <c r="Q92" s="109"/>
      <c r="R92" s="109"/>
      <c r="S92" s="109"/>
      <c r="T92" s="107">
        <f t="shared" si="10"/>
        <v>0</v>
      </c>
      <c r="U92" s="109"/>
      <c r="V92" s="109"/>
      <c r="W92" s="109"/>
      <c r="X92" s="109"/>
      <c r="Y92" s="109"/>
      <c r="Z92" s="107">
        <f t="shared" si="11"/>
        <v>0</v>
      </c>
      <c r="AA92" s="109"/>
      <c r="AB92" s="109"/>
      <c r="AC92" s="109"/>
      <c r="AD92" s="109"/>
      <c r="AE92" s="109"/>
      <c r="AF92" s="107">
        <f t="shared" si="12"/>
        <v>0</v>
      </c>
      <c r="AG92" s="109"/>
      <c r="AH92" s="109"/>
      <c r="AI92" s="109"/>
      <c r="AJ92" s="109"/>
      <c r="AK92" s="109"/>
      <c r="AL92" s="107">
        <f t="shared" si="13"/>
        <v>0</v>
      </c>
    </row>
    <row r="93" spans="1:38" ht="67.5">
      <c r="A93" s="212" t="s">
        <v>139</v>
      </c>
      <c r="B93" s="212" t="s">
        <v>87</v>
      </c>
      <c r="C93" s="141"/>
      <c r="D93" s="222" t="s">
        <v>397</v>
      </c>
      <c r="E93" s="214" t="s">
        <v>401</v>
      </c>
      <c r="F93" s="149" t="s">
        <v>488</v>
      </c>
      <c r="G93" s="217" t="s">
        <v>512</v>
      </c>
      <c r="H93" s="219" t="s">
        <v>542</v>
      </c>
      <c r="I93" s="109"/>
      <c r="J93" s="109"/>
      <c r="K93" s="109"/>
      <c r="L93" s="109"/>
      <c r="M93" s="109"/>
      <c r="N93" s="107">
        <f t="shared" si="9"/>
        <v>0</v>
      </c>
      <c r="O93" s="109"/>
      <c r="P93" s="109"/>
      <c r="Q93" s="109"/>
      <c r="R93" s="109"/>
      <c r="S93" s="109"/>
      <c r="T93" s="107">
        <f t="shared" si="10"/>
        <v>0</v>
      </c>
      <c r="U93" s="109"/>
      <c r="V93" s="109"/>
      <c r="W93" s="109"/>
      <c r="X93" s="109"/>
      <c r="Y93" s="109"/>
      <c r="Z93" s="107">
        <f t="shared" si="11"/>
        <v>0</v>
      </c>
      <c r="AA93" s="109"/>
      <c r="AB93" s="109"/>
      <c r="AC93" s="109"/>
      <c r="AD93" s="109"/>
      <c r="AE93" s="109"/>
      <c r="AF93" s="107">
        <f t="shared" si="12"/>
        <v>0</v>
      </c>
      <c r="AG93" s="109"/>
      <c r="AH93" s="109"/>
      <c r="AI93" s="109"/>
      <c r="AJ93" s="109"/>
      <c r="AK93" s="109"/>
      <c r="AL93" s="107">
        <f t="shared" si="13"/>
        <v>0</v>
      </c>
    </row>
    <row r="94" spans="1:38" ht="33.75">
      <c r="A94" s="212" t="s">
        <v>139</v>
      </c>
      <c r="B94" s="212" t="s">
        <v>87</v>
      </c>
      <c r="C94" s="141"/>
      <c r="D94" s="222" t="s">
        <v>397</v>
      </c>
      <c r="E94" s="214" t="s">
        <v>402</v>
      </c>
      <c r="F94" s="149" t="s">
        <v>488</v>
      </c>
      <c r="G94" s="217" t="s">
        <v>512</v>
      </c>
      <c r="H94" s="219" t="s">
        <v>542</v>
      </c>
      <c r="I94" s="109"/>
      <c r="J94" s="109"/>
      <c r="K94" s="109"/>
      <c r="L94" s="109"/>
      <c r="M94" s="109"/>
      <c r="N94" s="107">
        <f t="shared" si="9"/>
        <v>0</v>
      </c>
      <c r="O94" s="109"/>
      <c r="P94" s="109"/>
      <c r="Q94" s="109"/>
      <c r="R94" s="109"/>
      <c r="S94" s="109"/>
      <c r="T94" s="107">
        <f t="shared" si="10"/>
        <v>0</v>
      </c>
      <c r="U94" s="109"/>
      <c r="V94" s="109"/>
      <c r="W94" s="109"/>
      <c r="X94" s="109"/>
      <c r="Y94" s="109"/>
      <c r="Z94" s="107">
        <f t="shared" si="11"/>
        <v>0</v>
      </c>
      <c r="AA94" s="109"/>
      <c r="AB94" s="109"/>
      <c r="AC94" s="109"/>
      <c r="AD94" s="109"/>
      <c r="AE94" s="109"/>
      <c r="AF94" s="107">
        <f t="shared" si="12"/>
        <v>0</v>
      </c>
      <c r="AG94" s="109"/>
      <c r="AH94" s="109"/>
      <c r="AI94" s="109"/>
      <c r="AJ94" s="109"/>
      <c r="AK94" s="109"/>
      <c r="AL94" s="107">
        <f t="shared" si="13"/>
        <v>0</v>
      </c>
    </row>
    <row r="95" spans="1:38" ht="67.5">
      <c r="A95" s="212" t="s">
        <v>139</v>
      </c>
      <c r="B95" s="212" t="s">
        <v>87</v>
      </c>
      <c r="C95" s="141"/>
      <c r="D95" s="222" t="s">
        <v>403</v>
      </c>
      <c r="E95" s="214" t="s">
        <v>404</v>
      </c>
      <c r="F95" s="215" t="s">
        <v>494</v>
      </c>
      <c r="G95" s="227" t="s">
        <v>513</v>
      </c>
      <c r="H95" s="219" t="s">
        <v>606</v>
      </c>
      <c r="I95" s="109">
        <v>3200000</v>
      </c>
      <c r="J95" s="109">
        <v>1</v>
      </c>
      <c r="K95" s="109">
        <v>1</v>
      </c>
      <c r="L95" s="109">
        <v>1</v>
      </c>
      <c r="M95" s="109">
        <v>1</v>
      </c>
      <c r="N95" s="107">
        <f t="shared" si="9"/>
        <v>3200000</v>
      </c>
      <c r="O95" s="109">
        <v>3200000</v>
      </c>
      <c r="P95" s="109">
        <v>1</v>
      </c>
      <c r="Q95" s="109">
        <v>1</v>
      </c>
      <c r="R95" s="109">
        <v>1</v>
      </c>
      <c r="S95" s="109">
        <v>1</v>
      </c>
      <c r="T95" s="107">
        <f t="shared" si="10"/>
        <v>3200000</v>
      </c>
      <c r="U95" s="109">
        <v>3200000</v>
      </c>
      <c r="V95" s="109">
        <v>1</v>
      </c>
      <c r="W95" s="109">
        <v>1</v>
      </c>
      <c r="X95" s="109">
        <v>1</v>
      </c>
      <c r="Y95" s="109">
        <v>1</v>
      </c>
      <c r="Z95" s="107">
        <f t="shared" si="11"/>
        <v>3200000</v>
      </c>
      <c r="AA95" s="109">
        <v>3200000</v>
      </c>
      <c r="AB95" s="109">
        <v>1</v>
      </c>
      <c r="AC95" s="109">
        <v>1</v>
      </c>
      <c r="AD95" s="109">
        <v>1</v>
      </c>
      <c r="AE95" s="109">
        <v>1</v>
      </c>
      <c r="AF95" s="107">
        <f t="shared" si="12"/>
        <v>3200000</v>
      </c>
      <c r="AG95" s="109">
        <v>3200000</v>
      </c>
      <c r="AH95" s="109">
        <v>1</v>
      </c>
      <c r="AI95" s="109">
        <v>1</v>
      </c>
      <c r="AJ95" s="109">
        <v>1</v>
      </c>
      <c r="AK95" s="109">
        <v>1</v>
      </c>
      <c r="AL95" s="107">
        <f t="shared" si="13"/>
        <v>3200000</v>
      </c>
    </row>
    <row r="96" spans="1:38" ht="56.25">
      <c r="A96" s="212" t="s">
        <v>139</v>
      </c>
      <c r="B96" s="212" t="s">
        <v>87</v>
      </c>
      <c r="C96" s="141"/>
      <c r="D96" s="222" t="s">
        <v>403</v>
      </c>
      <c r="E96" s="214" t="s">
        <v>405</v>
      </c>
      <c r="F96" s="215" t="s">
        <v>494</v>
      </c>
      <c r="G96" s="227" t="s">
        <v>513</v>
      </c>
      <c r="H96" s="219" t="s">
        <v>606</v>
      </c>
      <c r="I96" s="109">
        <v>3200000</v>
      </c>
      <c r="J96" s="109">
        <v>1</v>
      </c>
      <c r="K96" s="109">
        <v>1</v>
      </c>
      <c r="L96" s="109">
        <v>1</v>
      </c>
      <c r="M96" s="109">
        <v>1</v>
      </c>
      <c r="N96" s="107">
        <f t="shared" si="9"/>
        <v>3200000</v>
      </c>
      <c r="O96" s="109">
        <v>3200000</v>
      </c>
      <c r="P96" s="109">
        <v>1</v>
      </c>
      <c r="Q96" s="109">
        <v>1</v>
      </c>
      <c r="R96" s="109">
        <v>1</v>
      </c>
      <c r="S96" s="109">
        <v>1</v>
      </c>
      <c r="T96" s="107">
        <f t="shared" si="10"/>
        <v>3200000</v>
      </c>
      <c r="U96" s="109">
        <v>3200000</v>
      </c>
      <c r="V96" s="109">
        <v>1</v>
      </c>
      <c r="W96" s="109">
        <v>1</v>
      </c>
      <c r="X96" s="109">
        <v>1</v>
      </c>
      <c r="Y96" s="109">
        <v>1</v>
      </c>
      <c r="Z96" s="107">
        <f t="shared" si="11"/>
        <v>3200000</v>
      </c>
      <c r="AA96" s="109">
        <v>3200000</v>
      </c>
      <c r="AB96" s="109">
        <v>1</v>
      </c>
      <c r="AC96" s="109">
        <v>1</v>
      </c>
      <c r="AD96" s="109">
        <v>1</v>
      </c>
      <c r="AE96" s="109">
        <v>1</v>
      </c>
      <c r="AF96" s="107">
        <f t="shared" si="12"/>
        <v>3200000</v>
      </c>
      <c r="AG96" s="109">
        <v>3200000</v>
      </c>
      <c r="AH96" s="109">
        <v>1</v>
      </c>
      <c r="AI96" s="109">
        <v>1</v>
      </c>
      <c r="AJ96" s="109">
        <v>1</v>
      </c>
      <c r="AK96" s="109">
        <v>1</v>
      </c>
      <c r="AL96" s="107">
        <f t="shared" si="13"/>
        <v>3200000</v>
      </c>
    </row>
    <row r="97" spans="1:38" ht="56.25">
      <c r="A97" s="212" t="s">
        <v>139</v>
      </c>
      <c r="B97" s="212" t="s">
        <v>87</v>
      </c>
      <c r="C97" s="8"/>
      <c r="D97" s="222" t="s">
        <v>406</v>
      </c>
      <c r="E97" s="214" t="s">
        <v>407</v>
      </c>
      <c r="F97" s="149" t="s">
        <v>489</v>
      </c>
      <c r="G97" s="227" t="s">
        <v>514</v>
      </c>
      <c r="H97" s="219" t="s">
        <v>542</v>
      </c>
      <c r="I97" s="109"/>
      <c r="J97" s="109"/>
      <c r="K97" s="109"/>
      <c r="L97" s="109"/>
      <c r="M97" s="109"/>
      <c r="N97" s="107">
        <f t="shared" si="9"/>
        <v>0</v>
      </c>
      <c r="O97" s="109"/>
      <c r="P97" s="109"/>
      <c r="Q97" s="109"/>
      <c r="R97" s="109"/>
      <c r="S97" s="109"/>
      <c r="T97" s="107">
        <f t="shared" si="10"/>
        <v>0</v>
      </c>
      <c r="U97" s="109"/>
      <c r="V97" s="109"/>
      <c r="W97" s="109"/>
      <c r="X97" s="109"/>
      <c r="Y97" s="109"/>
      <c r="Z97" s="107">
        <f t="shared" si="11"/>
        <v>0</v>
      </c>
      <c r="AA97" s="109"/>
      <c r="AB97" s="109"/>
      <c r="AC97" s="109"/>
      <c r="AD97" s="109"/>
      <c r="AE97" s="109"/>
      <c r="AF97" s="107">
        <f t="shared" si="12"/>
        <v>0</v>
      </c>
      <c r="AG97" s="109"/>
      <c r="AH97" s="109"/>
      <c r="AI97" s="109"/>
      <c r="AJ97" s="109"/>
      <c r="AK97" s="109"/>
      <c r="AL97" s="107">
        <f t="shared" si="13"/>
        <v>0</v>
      </c>
    </row>
    <row r="98" spans="1:38" ht="56.25">
      <c r="A98" s="212" t="s">
        <v>139</v>
      </c>
      <c r="B98" s="212" t="s">
        <v>87</v>
      </c>
      <c r="C98" s="141"/>
      <c r="D98" s="222" t="s">
        <v>406</v>
      </c>
      <c r="E98" s="214" t="s">
        <v>408</v>
      </c>
      <c r="F98" s="149" t="s">
        <v>489</v>
      </c>
      <c r="G98" s="227" t="s">
        <v>514</v>
      </c>
      <c r="H98" s="219" t="s">
        <v>542</v>
      </c>
      <c r="I98" s="109"/>
      <c r="J98" s="109"/>
      <c r="K98" s="109"/>
      <c r="L98" s="109"/>
      <c r="M98" s="109"/>
      <c r="N98" s="107">
        <f t="shared" si="9"/>
        <v>0</v>
      </c>
      <c r="O98" s="109"/>
      <c r="P98" s="109"/>
      <c r="Q98" s="109"/>
      <c r="R98" s="109"/>
      <c r="S98" s="109"/>
      <c r="T98" s="107">
        <f t="shared" si="10"/>
        <v>0</v>
      </c>
      <c r="U98" s="109"/>
      <c r="V98" s="109"/>
      <c r="W98" s="109"/>
      <c r="X98" s="109"/>
      <c r="Y98" s="109"/>
      <c r="Z98" s="107">
        <f t="shared" si="11"/>
        <v>0</v>
      </c>
      <c r="AA98" s="109"/>
      <c r="AB98" s="109"/>
      <c r="AC98" s="109"/>
      <c r="AD98" s="109"/>
      <c r="AE98" s="109"/>
      <c r="AF98" s="107">
        <f t="shared" si="12"/>
        <v>0</v>
      </c>
      <c r="AG98" s="109"/>
      <c r="AH98" s="109"/>
      <c r="AI98" s="109"/>
      <c r="AJ98" s="109"/>
      <c r="AK98" s="109"/>
      <c r="AL98" s="107">
        <f t="shared" si="13"/>
        <v>0</v>
      </c>
    </row>
    <row r="99" spans="1:38" s="242" customFormat="1" ht="67.5">
      <c r="A99" s="237" t="s">
        <v>139</v>
      </c>
      <c r="B99" s="237" t="s">
        <v>89</v>
      </c>
      <c r="C99" s="238"/>
      <c r="D99" s="222" t="s">
        <v>409</v>
      </c>
      <c r="E99" s="214" t="s">
        <v>410</v>
      </c>
      <c r="F99" s="149" t="s">
        <v>489</v>
      </c>
      <c r="G99" s="239" t="s">
        <v>513</v>
      </c>
      <c r="H99" s="219" t="s">
        <v>542</v>
      </c>
      <c r="I99" s="240"/>
      <c r="J99" s="240"/>
      <c r="K99" s="240"/>
      <c r="L99" s="240"/>
      <c r="M99" s="240"/>
      <c r="N99" s="241">
        <f t="shared" si="9"/>
        <v>0</v>
      </c>
      <c r="O99" s="240"/>
      <c r="P99" s="240"/>
      <c r="Q99" s="240"/>
      <c r="R99" s="240"/>
      <c r="S99" s="240"/>
      <c r="T99" s="241">
        <f t="shared" si="10"/>
        <v>0</v>
      </c>
      <c r="U99" s="240"/>
      <c r="V99" s="240"/>
      <c r="W99" s="240"/>
      <c r="X99" s="240"/>
      <c r="Y99" s="240"/>
      <c r="Z99" s="241">
        <f t="shared" si="11"/>
        <v>0</v>
      </c>
      <c r="AA99" s="240"/>
      <c r="AB99" s="240"/>
      <c r="AC99" s="240"/>
      <c r="AD99" s="240"/>
      <c r="AE99" s="240"/>
      <c r="AF99" s="241">
        <f t="shared" si="12"/>
        <v>0</v>
      </c>
      <c r="AG99" s="240"/>
      <c r="AH99" s="240"/>
      <c r="AI99" s="240"/>
      <c r="AJ99" s="240"/>
      <c r="AK99" s="240"/>
      <c r="AL99" s="241">
        <f t="shared" si="13"/>
        <v>0</v>
      </c>
    </row>
    <row r="100" spans="1:38" ht="67.5">
      <c r="A100" s="212" t="s">
        <v>139</v>
      </c>
      <c r="B100" s="212" t="s">
        <v>89</v>
      </c>
      <c r="C100" s="141"/>
      <c r="D100" s="222" t="s">
        <v>409</v>
      </c>
      <c r="E100" s="214" t="s">
        <v>411</v>
      </c>
      <c r="F100" s="142" t="s">
        <v>490</v>
      </c>
      <c r="G100" s="227" t="s">
        <v>513</v>
      </c>
      <c r="H100" s="219" t="s">
        <v>542</v>
      </c>
      <c r="I100" s="109"/>
      <c r="J100" s="109"/>
      <c r="K100" s="109"/>
      <c r="L100" s="109"/>
      <c r="M100" s="109"/>
      <c r="N100" s="107">
        <f t="shared" si="9"/>
        <v>0</v>
      </c>
      <c r="O100" s="109"/>
      <c r="P100" s="109"/>
      <c r="Q100" s="109"/>
      <c r="R100" s="109"/>
      <c r="S100" s="109"/>
      <c r="T100" s="107">
        <f t="shared" si="10"/>
        <v>0</v>
      </c>
      <c r="U100" s="109"/>
      <c r="V100" s="109"/>
      <c r="W100" s="109"/>
      <c r="X100" s="109"/>
      <c r="Y100" s="109"/>
      <c r="Z100" s="107">
        <f t="shared" si="11"/>
        <v>0</v>
      </c>
      <c r="AA100" s="109"/>
      <c r="AB100" s="109"/>
      <c r="AC100" s="109"/>
      <c r="AD100" s="109"/>
      <c r="AE100" s="109"/>
      <c r="AF100" s="107">
        <f t="shared" si="12"/>
        <v>0</v>
      </c>
      <c r="AG100" s="109"/>
      <c r="AH100" s="109"/>
      <c r="AI100" s="109"/>
      <c r="AJ100" s="109"/>
      <c r="AK100" s="109"/>
      <c r="AL100" s="107">
        <f t="shared" si="13"/>
        <v>0</v>
      </c>
    </row>
    <row r="101" spans="1:38" ht="67.5">
      <c r="A101" s="212" t="s">
        <v>139</v>
      </c>
      <c r="B101" s="212" t="s">
        <v>89</v>
      </c>
      <c r="C101" s="141"/>
      <c r="D101" s="222" t="s">
        <v>409</v>
      </c>
      <c r="E101" s="214" t="s">
        <v>412</v>
      </c>
      <c r="F101" s="215" t="s">
        <v>494</v>
      </c>
      <c r="G101" s="217" t="s">
        <v>322</v>
      </c>
      <c r="H101" s="219" t="s">
        <v>553</v>
      </c>
      <c r="I101" s="109">
        <v>482500</v>
      </c>
      <c r="J101" s="109">
        <v>40</v>
      </c>
      <c r="K101" s="109">
        <v>2</v>
      </c>
      <c r="L101" s="109">
        <v>1</v>
      </c>
      <c r="M101" s="109">
        <v>1</v>
      </c>
      <c r="N101" s="107">
        <f t="shared" si="9"/>
        <v>38600000</v>
      </c>
      <c r="O101" s="109">
        <v>482500</v>
      </c>
      <c r="P101" s="109">
        <v>40</v>
      </c>
      <c r="Q101" s="109">
        <v>2</v>
      </c>
      <c r="R101" s="109">
        <v>1</v>
      </c>
      <c r="S101" s="109">
        <v>1</v>
      </c>
      <c r="T101" s="107">
        <f t="shared" si="10"/>
        <v>38600000</v>
      </c>
      <c r="U101" s="109">
        <v>482500</v>
      </c>
      <c r="V101" s="109">
        <v>40</v>
      </c>
      <c r="W101" s="109">
        <v>2</v>
      </c>
      <c r="X101" s="109">
        <v>1</v>
      </c>
      <c r="Y101" s="109">
        <v>1</v>
      </c>
      <c r="Z101" s="107">
        <f t="shared" si="11"/>
        <v>38600000</v>
      </c>
      <c r="AA101" s="109">
        <v>482500</v>
      </c>
      <c r="AB101" s="109">
        <v>40</v>
      </c>
      <c r="AC101" s="109">
        <v>2</v>
      </c>
      <c r="AD101" s="109">
        <v>1</v>
      </c>
      <c r="AE101" s="109">
        <v>1</v>
      </c>
      <c r="AF101" s="107">
        <f t="shared" si="12"/>
        <v>38600000</v>
      </c>
      <c r="AG101" s="109">
        <v>482500</v>
      </c>
      <c r="AH101" s="109">
        <v>40</v>
      </c>
      <c r="AI101" s="109">
        <v>2</v>
      </c>
      <c r="AJ101" s="109">
        <v>1</v>
      </c>
      <c r="AK101" s="109">
        <v>1</v>
      </c>
      <c r="AL101" s="107">
        <f t="shared" si="13"/>
        <v>38600000</v>
      </c>
    </row>
    <row r="102" spans="1:38" ht="67.5">
      <c r="A102" s="212" t="s">
        <v>139</v>
      </c>
      <c r="B102" s="212" t="s">
        <v>89</v>
      </c>
      <c r="C102" s="141"/>
      <c r="D102" s="222" t="s">
        <v>409</v>
      </c>
      <c r="E102" s="214" t="s">
        <v>413</v>
      </c>
      <c r="F102" s="142" t="s">
        <v>491</v>
      </c>
      <c r="G102" s="217" t="s">
        <v>322</v>
      </c>
      <c r="H102" s="219" t="s">
        <v>555</v>
      </c>
      <c r="I102" s="109"/>
      <c r="J102" s="109"/>
      <c r="K102" s="109"/>
      <c r="L102" s="109"/>
      <c r="M102" s="109"/>
      <c r="N102" s="107">
        <f t="shared" si="9"/>
        <v>0</v>
      </c>
      <c r="O102" s="109"/>
      <c r="P102" s="109"/>
      <c r="Q102" s="109"/>
      <c r="R102" s="109"/>
      <c r="S102" s="109"/>
      <c r="T102" s="107">
        <f t="shared" si="10"/>
        <v>0</v>
      </c>
      <c r="U102" s="109"/>
      <c r="V102" s="109"/>
      <c r="W102" s="109"/>
      <c r="X102" s="109"/>
      <c r="Y102" s="109"/>
      <c r="Z102" s="107">
        <f t="shared" si="11"/>
        <v>0</v>
      </c>
      <c r="AA102" s="109"/>
      <c r="AB102" s="109"/>
      <c r="AC102" s="109"/>
      <c r="AD102" s="109"/>
      <c r="AE102" s="109"/>
      <c r="AF102" s="107">
        <f t="shared" si="12"/>
        <v>0</v>
      </c>
      <c r="AG102" s="109"/>
      <c r="AH102" s="109"/>
      <c r="AI102" s="109"/>
      <c r="AJ102" s="109"/>
      <c r="AK102" s="109"/>
      <c r="AL102" s="107">
        <f t="shared" si="13"/>
        <v>0</v>
      </c>
    </row>
    <row r="103" spans="1:38" ht="78.75">
      <c r="A103" s="212" t="s">
        <v>139</v>
      </c>
      <c r="B103" s="212" t="s">
        <v>91</v>
      </c>
      <c r="C103" s="141"/>
      <c r="D103" s="222" t="s">
        <v>414</v>
      </c>
      <c r="E103" s="214" t="s">
        <v>635</v>
      </c>
      <c r="F103" s="142" t="s">
        <v>488</v>
      </c>
      <c r="G103" s="217" t="s">
        <v>322</v>
      </c>
      <c r="H103" s="219" t="s">
        <v>542</v>
      </c>
      <c r="I103" s="109"/>
      <c r="J103" s="109"/>
      <c r="K103" s="109"/>
      <c r="L103" s="109"/>
      <c r="M103" s="109"/>
      <c r="N103" s="107">
        <f t="shared" si="9"/>
        <v>0</v>
      </c>
      <c r="O103" s="109"/>
      <c r="P103" s="109"/>
      <c r="Q103" s="109"/>
      <c r="R103" s="109"/>
      <c r="S103" s="109"/>
      <c r="T103" s="107">
        <f t="shared" si="10"/>
        <v>0</v>
      </c>
      <c r="U103" s="109"/>
      <c r="V103" s="109"/>
      <c r="W103" s="109"/>
      <c r="X103" s="109"/>
      <c r="Y103" s="109"/>
      <c r="Z103" s="107">
        <f t="shared" si="11"/>
        <v>0</v>
      </c>
      <c r="AA103" s="109"/>
      <c r="AB103" s="109"/>
      <c r="AC103" s="109"/>
      <c r="AD103" s="109"/>
      <c r="AE103" s="109"/>
      <c r="AF103" s="107">
        <f t="shared" si="12"/>
        <v>0</v>
      </c>
      <c r="AG103" s="109"/>
      <c r="AH103" s="109"/>
      <c r="AI103" s="109"/>
      <c r="AJ103" s="109"/>
      <c r="AK103" s="109"/>
      <c r="AL103" s="107">
        <f t="shared" si="13"/>
        <v>0</v>
      </c>
    </row>
    <row r="104" spans="1:38" ht="78.75">
      <c r="A104" s="212" t="s">
        <v>139</v>
      </c>
      <c r="B104" s="212" t="s">
        <v>91</v>
      </c>
      <c r="C104" s="141"/>
      <c r="D104" s="222" t="s">
        <v>414</v>
      </c>
      <c r="E104" s="214" t="s">
        <v>592</v>
      </c>
      <c r="F104" s="142" t="s">
        <v>488</v>
      </c>
      <c r="G104" s="217" t="s">
        <v>322</v>
      </c>
      <c r="H104" s="219" t="s">
        <v>542</v>
      </c>
      <c r="I104" s="109"/>
      <c r="J104" s="109"/>
      <c r="K104" s="109"/>
      <c r="L104" s="109"/>
      <c r="M104" s="109"/>
      <c r="N104" s="107">
        <f t="shared" si="9"/>
        <v>0</v>
      </c>
      <c r="O104" s="109"/>
      <c r="P104" s="109"/>
      <c r="Q104" s="109"/>
      <c r="R104" s="109"/>
      <c r="S104" s="109"/>
      <c r="T104" s="107">
        <f t="shared" si="10"/>
        <v>0</v>
      </c>
      <c r="U104" s="109"/>
      <c r="V104" s="109"/>
      <c r="W104" s="109"/>
      <c r="X104" s="109"/>
      <c r="Y104" s="109"/>
      <c r="Z104" s="107">
        <f t="shared" si="11"/>
        <v>0</v>
      </c>
      <c r="AA104" s="109"/>
      <c r="AB104" s="109"/>
      <c r="AC104" s="109"/>
      <c r="AD104" s="109"/>
      <c r="AE104" s="109"/>
      <c r="AF104" s="107">
        <f t="shared" si="12"/>
        <v>0</v>
      </c>
      <c r="AG104" s="109"/>
      <c r="AH104" s="109"/>
      <c r="AI104" s="109"/>
      <c r="AJ104" s="109"/>
      <c r="AK104" s="109"/>
      <c r="AL104" s="107">
        <f t="shared" si="13"/>
        <v>0</v>
      </c>
    </row>
    <row r="105" spans="1:38" ht="78.75">
      <c r="A105" s="212" t="s">
        <v>139</v>
      </c>
      <c r="B105" s="212" t="s">
        <v>91</v>
      </c>
      <c r="C105" s="141"/>
      <c r="D105" s="222" t="s">
        <v>414</v>
      </c>
      <c r="E105" s="214" t="s">
        <v>593</v>
      </c>
      <c r="F105" s="142" t="s">
        <v>488</v>
      </c>
      <c r="G105" s="217" t="s">
        <v>322</v>
      </c>
      <c r="H105" s="219" t="s">
        <v>542</v>
      </c>
      <c r="I105" s="109"/>
      <c r="J105" s="109"/>
      <c r="K105" s="109"/>
      <c r="L105" s="109"/>
      <c r="M105" s="109"/>
      <c r="N105" s="107">
        <f t="shared" si="9"/>
        <v>0</v>
      </c>
      <c r="O105" s="109"/>
      <c r="P105" s="109"/>
      <c r="Q105" s="109"/>
      <c r="R105" s="109"/>
      <c r="S105" s="109"/>
      <c r="T105" s="107">
        <f t="shared" si="10"/>
        <v>0</v>
      </c>
      <c r="U105" s="109"/>
      <c r="V105" s="109"/>
      <c r="W105" s="109"/>
      <c r="X105" s="109"/>
      <c r="Y105" s="109"/>
      <c r="Z105" s="107">
        <f t="shared" si="11"/>
        <v>0</v>
      </c>
      <c r="AA105" s="109"/>
      <c r="AB105" s="109"/>
      <c r="AC105" s="109"/>
      <c r="AD105" s="109"/>
      <c r="AE105" s="109"/>
      <c r="AF105" s="107">
        <f t="shared" si="12"/>
        <v>0</v>
      </c>
      <c r="AG105" s="109"/>
      <c r="AH105" s="109"/>
      <c r="AI105" s="109"/>
      <c r="AJ105" s="109"/>
      <c r="AK105" s="109"/>
      <c r="AL105" s="107">
        <f t="shared" si="13"/>
        <v>0</v>
      </c>
    </row>
    <row r="106" spans="1:38" s="242" customFormat="1" ht="33.75">
      <c r="A106" s="237" t="s">
        <v>139</v>
      </c>
      <c r="B106" s="237" t="s">
        <v>91</v>
      </c>
      <c r="C106" s="238"/>
      <c r="D106" s="222" t="s">
        <v>415</v>
      </c>
      <c r="E106" s="214" t="s">
        <v>416</v>
      </c>
      <c r="F106" s="215" t="s">
        <v>494</v>
      </c>
      <c r="G106" s="239" t="s">
        <v>513</v>
      </c>
      <c r="H106" s="219"/>
      <c r="I106" s="240">
        <v>420000</v>
      </c>
      <c r="J106" s="240">
        <v>4</v>
      </c>
      <c r="K106" s="240">
        <v>3</v>
      </c>
      <c r="L106" s="240">
        <v>1</v>
      </c>
      <c r="M106" s="240">
        <v>1</v>
      </c>
      <c r="N106" s="241">
        <f t="shared" si="9"/>
        <v>5040000</v>
      </c>
      <c r="O106" s="240">
        <v>420000</v>
      </c>
      <c r="P106" s="240">
        <v>4</v>
      </c>
      <c r="Q106" s="240">
        <v>3</v>
      </c>
      <c r="R106" s="240">
        <v>1</v>
      </c>
      <c r="S106" s="240">
        <v>1</v>
      </c>
      <c r="T106" s="241">
        <f t="shared" si="10"/>
        <v>5040000</v>
      </c>
      <c r="U106" s="240">
        <v>420000</v>
      </c>
      <c r="V106" s="240">
        <v>4</v>
      </c>
      <c r="W106" s="240">
        <v>3</v>
      </c>
      <c r="X106" s="240">
        <v>1</v>
      </c>
      <c r="Y106" s="240">
        <v>1</v>
      </c>
      <c r="Z106" s="241">
        <f t="shared" si="11"/>
        <v>5040000</v>
      </c>
      <c r="AA106" s="240">
        <v>420000</v>
      </c>
      <c r="AB106" s="240">
        <v>4</v>
      </c>
      <c r="AC106" s="240">
        <v>3</v>
      </c>
      <c r="AD106" s="240">
        <v>1</v>
      </c>
      <c r="AE106" s="240">
        <v>1</v>
      </c>
      <c r="AF106" s="241">
        <f t="shared" si="12"/>
        <v>5040000</v>
      </c>
      <c r="AG106" s="240">
        <v>420000</v>
      </c>
      <c r="AH106" s="240">
        <v>4</v>
      </c>
      <c r="AI106" s="240">
        <v>3</v>
      </c>
      <c r="AJ106" s="240">
        <v>1</v>
      </c>
      <c r="AK106" s="240">
        <v>1</v>
      </c>
      <c r="AL106" s="241">
        <f t="shared" si="13"/>
        <v>5040000</v>
      </c>
    </row>
    <row r="107" spans="1:38" ht="33.75">
      <c r="A107" s="212" t="s">
        <v>139</v>
      </c>
      <c r="B107" s="212" t="s">
        <v>91</v>
      </c>
      <c r="C107" s="141"/>
      <c r="D107" s="222" t="s">
        <v>415</v>
      </c>
      <c r="E107" s="214" t="s">
        <v>417</v>
      </c>
      <c r="F107" s="215" t="s">
        <v>494</v>
      </c>
      <c r="G107" s="217" t="s">
        <v>513</v>
      </c>
      <c r="H107" s="219" t="s">
        <v>607</v>
      </c>
      <c r="I107" s="109">
        <v>420000</v>
      </c>
      <c r="J107" s="109">
        <v>4</v>
      </c>
      <c r="K107" s="109">
        <v>3</v>
      </c>
      <c r="L107" s="109">
        <v>1</v>
      </c>
      <c r="M107" s="109">
        <v>1</v>
      </c>
      <c r="N107" s="107">
        <f t="shared" si="9"/>
        <v>5040000</v>
      </c>
      <c r="O107" s="109">
        <v>420000</v>
      </c>
      <c r="P107" s="109">
        <v>4</v>
      </c>
      <c r="Q107" s="109">
        <v>3</v>
      </c>
      <c r="R107" s="109">
        <v>1</v>
      </c>
      <c r="S107" s="109">
        <v>1</v>
      </c>
      <c r="T107" s="107">
        <f t="shared" si="10"/>
        <v>5040000</v>
      </c>
      <c r="U107" s="109">
        <v>420000</v>
      </c>
      <c r="V107" s="109">
        <v>4</v>
      </c>
      <c r="W107" s="109">
        <v>3</v>
      </c>
      <c r="X107" s="109">
        <v>1</v>
      </c>
      <c r="Y107" s="109">
        <v>1</v>
      </c>
      <c r="Z107" s="107">
        <f t="shared" si="11"/>
        <v>5040000</v>
      </c>
      <c r="AA107" s="109">
        <v>420000</v>
      </c>
      <c r="AB107" s="109">
        <v>4</v>
      </c>
      <c r="AC107" s="109">
        <v>3</v>
      </c>
      <c r="AD107" s="109">
        <v>1</v>
      </c>
      <c r="AE107" s="109">
        <v>1</v>
      </c>
      <c r="AF107" s="107">
        <f t="shared" si="12"/>
        <v>5040000</v>
      </c>
      <c r="AG107" s="109">
        <v>420000</v>
      </c>
      <c r="AH107" s="109">
        <v>4</v>
      </c>
      <c r="AI107" s="109">
        <v>3</v>
      </c>
      <c r="AJ107" s="109">
        <v>1</v>
      </c>
      <c r="AK107" s="109">
        <v>1</v>
      </c>
      <c r="AL107" s="107">
        <f t="shared" si="13"/>
        <v>5040000</v>
      </c>
    </row>
    <row r="108" spans="1:38" ht="33.75">
      <c r="A108" s="212" t="s">
        <v>139</v>
      </c>
      <c r="B108" s="212" t="s">
        <v>91</v>
      </c>
      <c r="C108" s="141"/>
      <c r="D108" s="222" t="s">
        <v>415</v>
      </c>
      <c r="E108" s="214" t="s">
        <v>418</v>
      </c>
      <c r="F108" s="142" t="s">
        <v>487</v>
      </c>
      <c r="G108" s="217" t="s">
        <v>514</v>
      </c>
      <c r="H108" s="219" t="s">
        <v>542</v>
      </c>
      <c r="I108" s="109"/>
      <c r="J108" s="109"/>
      <c r="K108" s="109"/>
      <c r="L108" s="109"/>
      <c r="M108" s="109"/>
      <c r="N108" s="107">
        <f t="shared" si="9"/>
        <v>0</v>
      </c>
      <c r="O108" s="109"/>
      <c r="P108" s="109"/>
      <c r="Q108" s="109"/>
      <c r="R108" s="109"/>
      <c r="S108" s="109"/>
      <c r="T108" s="107">
        <f t="shared" si="10"/>
        <v>0</v>
      </c>
      <c r="U108" s="109"/>
      <c r="V108" s="109"/>
      <c r="W108" s="109"/>
      <c r="X108" s="109"/>
      <c r="Y108" s="109"/>
      <c r="Z108" s="107">
        <f t="shared" si="11"/>
        <v>0</v>
      </c>
      <c r="AA108" s="109"/>
      <c r="AB108" s="109"/>
      <c r="AC108" s="109"/>
      <c r="AD108" s="109"/>
      <c r="AE108" s="109"/>
      <c r="AF108" s="107">
        <f t="shared" si="12"/>
        <v>0</v>
      </c>
      <c r="AG108" s="109"/>
      <c r="AH108" s="109"/>
      <c r="AI108" s="109"/>
      <c r="AJ108" s="109"/>
      <c r="AK108" s="109"/>
      <c r="AL108" s="107">
        <f t="shared" si="13"/>
        <v>0</v>
      </c>
    </row>
    <row r="109" spans="1:38" ht="33.75">
      <c r="A109" s="212" t="s">
        <v>139</v>
      </c>
      <c r="B109" s="212" t="s">
        <v>91</v>
      </c>
      <c r="C109" s="141"/>
      <c r="D109" s="222" t="s">
        <v>415</v>
      </c>
      <c r="E109" s="214" t="s">
        <v>419</v>
      </c>
      <c r="F109" s="215" t="s">
        <v>596</v>
      </c>
      <c r="G109" s="217" t="s">
        <v>322</v>
      </c>
      <c r="H109" s="219" t="s">
        <v>557</v>
      </c>
      <c r="I109" s="109">
        <v>532500</v>
      </c>
      <c r="J109" s="109">
        <v>20</v>
      </c>
      <c r="K109" s="109">
        <v>2</v>
      </c>
      <c r="L109" s="109">
        <v>1</v>
      </c>
      <c r="M109" s="109">
        <v>1</v>
      </c>
      <c r="N109" s="107">
        <f t="shared" si="9"/>
        <v>21300000</v>
      </c>
      <c r="O109" s="109">
        <v>532500</v>
      </c>
      <c r="P109" s="109">
        <v>20</v>
      </c>
      <c r="Q109" s="109">
        <v>2</v>
      </c>
      <c r="R109" s="109">
        <v>1</v>
      </c>
      <c r="S109" s="109">
        <v>1</v>
      </c>
      <c r="T109" s="107">
        <f t="shared" si="10"/>
        <v>21300000</v>
      </c>
      <c r="U109" s="109">
        <v>532500</v>
      </c>
      <c r="V109" s="109">
        <v>20</v>
      </c>
      <c r="W109" s="109">
        <v>2</v>
      </c>
      <c r="X109" s="109">
        <v>1</v>
      </c>
      <c r="Y109" s="109">
        <v>1</v>
      </c>
      <c r="Z109" s="107">
        <f t="shared" si="11"/>
        <v>21300000</v>
      </c>
      <c r="AA109" s="109">
        <v>532500</v>
      </c>
      <c r="AB109" s="109">
        <v>20</v>
      </c>
      <c r="AC109" s="109">
        <v>2</v>
      </c>
      <c r="AD109" s="109">
        <v>1</v>
      </c>
      <c r="AE109" s="109">
        <v>1</v>
      </c>
      <c r="AF109" s="107">
        <f t="shared" si="12"/>
        <v>21300000</v>
      </c>
      <c r="AG109" s="109">
        <v>532500</v>
      </c>
      <c r="AH109" s="109">
        <v>20</v>
      </c>
      <c r="AI109" s="109">
        <v>2</v>
      </c>
      <c r="AJ109" s="109">
        <v>1</v>
      </c>
      <c r="AK109" s="109">
        <v>1</v>
      </c>
      <c r="AL109" s="107">
        <f t="shared" si="13"/>
        <v>21300000</v>
      </c>
    </row>
    <row r="110" spans="1:38" s="242" customFormat="1" ht="56.25">
      <c r="A110" s="237" t="s">
        <v>139</v>
      </c>
      <c r="B110" s="237" t="s">
        <v>91</v>
      </c>
      <c r="C110" s="238"/>
      <c r="D110" s="222" t="s">
        <v>420</v>
      </c>
      <c r="E110" s="214" t="s">
        <v>421</v>
      </c>
      <c r="F110" s="215" t="s">
        <v>596</v>
      </c>
      <c r="G110" s="239" t="s">
        <v>322</v>
      </c>
      <c r="H110" s="219" t="s">
        <v>542</v>
      </c>
      <c r="I110" s="240">
        <v>620000</v>
      </c>
      <c r="J110" s="240">
        <v>54</v>
      </c>
      <c r="K110" s="240">
        <v>3</v>
      </c>
      <c r="L110" s="240">
        <v>1</v>
      </c>
      <c r="M110" s="240">
        <v>1</v>
      </c>
      <c r="N110" s="241">
        <f t="shared" si="9"/>
        <v>100440000</v>
      </c>
      <c r="O110" s="240"/>
      <c r="P110" s="240"/>
      <c r="Q110" s="240"/>
      <c r="R110" s="240"/>
      <c r="S110" s="240"/>
      <c r="T110" s="241">
        <f t="shared" si="10"/>
        <v>0</v>
      </c>
      <c r="U110" s="240"/>
      <c r="V110" s="240"/>
      <c r="W110" s="240"/>
      <c r="X110" s="240"/>
      <c r="Y110" s="240"/>
      <c r="Z110" s="241">
        <f t="shared" si="11"/>
        <v>0</v>
      </c>
      <c r="AA110" s="240"/>
      <c r="AB110" s="240"/>
      <c r="AC110" s="240"/>
      <c r="AD110" s="240"/>
      <c r="AE110" s="240"/>
      <c r="AF110" s="241">
        <f t="shared" si="12"/>
        <v>0</v>
      </c>
      <c r="AG110" s="240"/>
      <c r="AH110" s="240"/>
      <c r="AI110" s="240"/>
      <c r="AJ110" s="240"/>
      <c r="AK110" s="240"/>
      <c r="AL110" s="241">
        <f t="shared" si="13"/>
        <v>0</v>
      </c>
    </row>
    <row r="111" spans="1:38" ht="67.5">
      <c r="A111" s="212" t="s">
        <v>139</v>
      </c>
      <c r="B111" s="212" t="s">
        <v>91</v>
      </c>
      <c r="C111" s="141"/>
      <c r="D111" s="222" t="s">
        <v>420</v>
      </c>
      <c r="E111" s="214" t="s">
        <v>594</v>
      </c>
      <c r="F111" s="150" t="s">
        <v>488</v>
      </c>
      <c r="G111" s="217" t="s">
        <v>322</v>
      </c>
      <c r="H111" s="219" t="s">
        <v>542</v>
      </c>
      <c r="I111" s="109"/>
      <c r="J111" s="109"/>
      <c r="K111" s="109"/>
      <c r="L111" s="109"/>
      <c r="M111" s="109"/>
      <c r="N111" s="107">
        <f t="shared" si="9"/>
        <v>0</v>
      </c>
      <c r="O111" s="109"/>
      <c r="P111" s="109"/>
      <c r="Q111" s="109"/>
      <c r="R111" s="109"/>
      <c r="S111" s="109"/>
      <c r="T111" s="107">
        <f t="shared" si="10"/>
        <v>0</v>
      </c>
      <c r="U111" s="109"/>
      <c r="V111" s="109"/>
      <c r="W111" s="109"/>
      <c r="X111" s="109"/>
      <c r="Y111" s="109"/>
      <c r="Z111" s="107">
        <f t="shared" si="11"/>
        <v>0</v>
      </c>
      <c r="AA111" s="109"/>
      <c r="AB111" s="109"/>
      <c r="AC111" s="109"/>
      <c r="AD111" s="109"/>
      <c r="AE111" s="109"/>
      <c r="AF111" s="107">
        <f t="shared" si="12"/>
        <v>0</v>
      </c>
      <c r="AG111" s="109"/>
      <c r="AH111" s="109"/>
      <c r="AI111" s="109"/>
      <c r="AJ111" s="109"/>
      <c r="AK111" s="109"/>
      <c r="AL111" s="107">
        <f t="shared" si="13"/>
        <v>0</v>
      </c>
    </row>
    <row r="112" spans="1:38" ht="78.75">
      <c r="A112" s="212" t="s">
        <v>139</v>
      </c>
      <c r="B112" s="212" t="s">
        <v>91</v>
      </c>
      <c r="C112" s="141"/>
      <c r="D112" s="222" t="s">
        <v>420</v>
      </c>
      <c r="E112" s="214" t="s">
        <v>600</v>
      </c>
      <c r="F112" s="150" t="s">
        <v>488</v>
      </c>
      <c r="G112" s="217" t="s">
        <v>322</v>
      </c>
      <c r="H112" s="219" t="s">
        <v>542</v>
      </c>
      <c r="I112" s="109"/>
      <c r="J112" s="109"/>
      <c r="K112" s="109"/>
      <c r="L112" s="109"/>
      <c r="M112" s="109"/>
      <c r="N112" s="107">
        <f t="shared" si="9"/>
        <v>0</v>
      </c>
      <c r="O112" s="109"/>
      <c r="P112" s="109"/>
      <c r="Q112" s="109"/>
      <c r="R112" s="109"/>
      <c r="S112" s="109"/>
      <c r="T112" s="107">
        <f t="shared" si="10"/>
        <v>0</v>
      </c>
      <c r="U112" s="109"/>
      <c r="V112" s="109"/>
      <c r="W112" s="109"/>
      <c r="X112" s="109"/>
      <c r="Y112" s="109"/>
      <c r="Z112" s="107">
        <f t="shared" si="11"/>
        <v>0</v>
      </c>
      <c r="AA112" s="109"/>
      <c r="AB112" s="109"/>
      <c r="AC112" s="109"/>
      <c r="AD112" s="109"/>
      <c r="AE112" s="109"/>
      <c r="AF112" s="107">
        <f t="shared" si="12"/>
        <v>0</v>
      </c>
      <c r="AG112" s="109"/>
      <c r="AH112" s="109"/>
      <c r="AI112" s="109"/>
      <c r="AJ112" s="109"/>
      <c r="AK112" s="109"/>
      <c r="AL112" s="107">
        <f t="shared" si="13"/>
        <v>0</v>
      </c>
    </row>
    <row r="113" spans="1:38" ht="41.25" customHeight="1">
      <c r="A113" s="212" t="s">
        <v>139</v>
      </c>
      <c r="B113" s="212" t="s">
        <v>93</v>
      </c>
      <c r="C113" s="141"/>
      <c r="D113" s="222" t="s">
        <v>422</v>
      </c>
      <c r="E113" s="214" t="s">
        <v>423</v>
      </c>
      <c r="F113" s="215" t="s">
        <v>494</v>
      </c>
      <c r="G113" s="217" t="s">
        <v>514</v>
      </c>
      <c r="H113" s="219" t="s">
        <v>603</v>
      </c>
      <c r="I113" s="109">
        <v>420000</v>
      </c>
      <c r="J113" s="109">
        <v>4</v>
      </c>
      <c r="K113" s="109">
        <v>4</v>
      </c>
      <c r="L113" s="109">
        <v>1</v>
      </c>
      <c r="M113" s="109">
        <v>1</v>
      </c>
      <c r="N113" s="107">
        <f t="shared" si="9"/>
        <v>6720000</v>
      </c>
      <c r="O113" s="109">
        <v>420000</v>
      </c>
      <c r="P113" s="109">
        <v>4</v>
      </c>
      <c r="Q113" s="109">
        <v>4</v>
      </c>
      <c r="R113" s="109">
        <v>1</v>
      </c>
      <c r="S113" s="109">
        <v>1</v>
      </c>
      <c r="T113" s="107">
        <f t="shared" si="10"/>
        <v>6720000</v>
      </c>
      <c r="U113" s="109">
        <v>420000</v>
      </c>
      <c r="V113" s="109">
        <v>4</v>
      </c>
      <c r="W113" s="109">
        <v>4</v>
      </c>
      <c r="X113" s="109">
        <v>1</v>
      </c>
      <c r="Y113" s="109">
        <v>1</v>
      </c>
      <c r="Z113" s="107">
        <f t="shared" si="11"/>
        <v>6720000</v>
      </c>
      <c r="AA113" s="109">
        <v>420000</v>
      </c>
      <c r="AB113" s="109">
        <v>4</v>
      </c>
      <c r="AC113" s="109">
        <v>4</v>
      </c>
      <c r="AD113" s="109">
        <v>1</v>
      </c>
      <c r="AE113" s="109">
        <v>1</v>
      </c>
      <c r="AF113" s="107">
        <f t="shared" si="12"/>
        <v>6720000</v>
      </c>
      <c r="AG113" s="109">
        <v>420000</v>
      </c>
      <c r="AH113" s="109">
        <v>4</v>
      </c>
      <c r="AI113" s="109">
        <v>4</v>
      </c>
      <c r="AJ113" s="109">
        <v>1</v>
      </c>
      <c r="AK113" s="109">
        <v>1</v>
      </c>
      <c r="AL113" s="107">
        <f t="shared" si="13"/>
        <v>6720000</v>
      </c>
    </row>
    <row r="114" spans="1:38" ht="45">
      <c r="A114" s="212" t="s">
        <v>139</v>
      </c>
      <c r="B114" s="212" t="s">
        <v>93</v>
      </c>
      <c r="C114" s="141"/>
      <c r="D114" s="222" t="s">
        <v>422</v>
      </c>
      <c r="E114" s="214" t="s">
        <v>424</v>
      </c>
      <c r="F114" s="215" t="s">
        <v>494</v>
      </c>
      <c r="G114" s="217" t="s">
        <v>322</v>
      </c>
      <c r="H114" s="219" t="s">
        <v>535</v>
      </c>
      <c r="I114" s="218">
        <v>2420000</v>
      </c>
      <c r="J114" s="218">
        <v>38</v>
      </c>
      <c r="K114" s="218">
        <v>5</v>
      </c>
      <c r="L114" s="218">
        <v>1</v>
      </c>
      <c r="M114" s="218">
        <v>1</v>
      </c>
      <c r="N114" s="107">
        <f t="shared" ref="N114:N171" si="14">PRODUCT(I114:M114)</f>
        <v>459800000</v>
      </c>
      <c r="O114" s="218">
        <v>2420000</v>
      </c>
      <c r="P114" s="218">
        <v>38</v>
      </c>
      <c r="Q114" s="218">
        <v>5</v>
      </c>
      <c r="R114" s="218">
        <v>1</v>
      </c>
      <c r="S114" s="218">
        <v>1</v>
      </c>
      <c r="T114" s="107">
        <f t="shared" si="10"/>
        <v>459800000</v>
      </c>
      <c r="U114" s="218">
        <v>2420000</v>
      </c>
      <c r="V114" s="218">
        <v>38</v>
      </c>
      <c r="W114" s="218">
        <v>5</v>
      </c>
      <c r="X114" s="218">
        <v>1</v>
      </c>
      <c r="Y114" s="218">
        <v>1</v>
      </c>
      <c r="Z114" s="107">
        <f t="shared" si="11"/>
        <v>459800000</v>
      </c>
      <c r="AA114" s="218">
        <v>2420000</v>
      </c>
      <c r="AB114" s="218">
        <v>38</v>
      </c>
      <c r="AC114" s="218">
        <v>5</v>
      </c>
      <c r="AD114" s="218">
        <v>1</v>
      </c>
      <c r="AE114" s="218">
        <v>1</v>
      </c>
      <c r="AF114" s="107">
        <f t="shared" si="12"/>
        <v>459800000</v>
      </c>
      <c r="AG114" s="218">
        <v>2420000</v>
      </c>
      <c r="AH114" s="218">
        <v>38</v>
      </c>
      <c r="AI114" s="218">
        <v>5</v>
      </c>
      <c r="AJ114" s="218">
        <v>1</v>
      </c>
      <c r="AK114" s="218">
        <v>1</v>
      </c>
      <c r="AL114" s="107">
        <f t="shared" si="13"/>
        <v>459800000</v>
      </c>
    </row>
    <row r="115" spans="1:38" ht="33.75">
      <c r="A115" s="212" t="s">
        <v>139</v>
      </c>
      <c r="B115" s="212" t="s">
        <v>93</v>
      </c>
      <c r="C115" s="141"/>
      <c r="D115" s="222" t="s">
        <v>422</v>
      </c>
      <c r="E115" s="214" t="s">
        <v>425</v>
      </c>
      <c r="F115" s="143" t="s">
        <v>488</v>
      </c>
      <c r="G115" s="217" t="s">
        <v>322</v>
      </c>
      <c r="H115" s="219" t="s">
        <v>556</v>
      </c>
      <c r="I115" s="109"/>
      <c r="J115" s="109"/>
      <c r="K115" s="109"/>
      <c r="L115" s="109"/>
      <c r="M115" s="109"/>
      <c r="N115" s="107">
        <f t="shared" si="14"/>
        <v>0</v>
      </c>
      <c r="O115" s="109"/>
      <c r="P115" s="109"/>
      <c r="Q115" s="109"/>
      <c r="R115" s="109"/>
      <c r="S115" s="109"/>
      <c r="T115" s="107">
        <f t="shared" si="10"/>
        <v>0</v>
      </c>
      <c r="U115" s="109"/>
      <c r="V115" s="109"/>
      <c r="W115" s="109"/>
      <c r="X115" s="109"/>
      <c r="Y115" s="109"/>
      <c r="Z115" s="107">
        <f t="shared" si="11"/>
        <v>0</v>
      </c>
      <c r="AA115" s="109"/>
      <c r="AB115" s="109"/>
      <c r="AC115" s="109"/>
      <c r="AD115" s="109"/>
      <c r="AE115" s="109"/>
      <c r="AF115" s="107">
        <f t="shared" si="12"/>
        <v>0</v>
      </c>
      <c r="AG115" s="109"/>
      <c r="AH115" s="109"/>
      <c r="AI115" s="109"/>
      <c r="AJ115" s="109"/>
      <c r="AK115" s="109"/>
      <c r="AL115" s="107">
        <f t="shared" si="13"/>
        <v>0</v>
      </c>
    </row>
    <row r="116" spans="1:38" ht="33.75">
      <c r="A116" s="212" t="s">
        <v>139</v>
      </c>
      <c r="B116" s="212" t="s">
        <v>93</v>
      </c>
      <c r="C116" s="141"/>
      <c r="D116" s="222" t="s">
        <v>422</v>
      </c>
      <c r="E116" s="214" t="s">
        <v>426</v>
      </c>
      <c r="F116" s="215" t="s">
        <v>494</v>
      </c>
      <c r="G116" s="217" t="s">
        <v>322</v>
      </c>
      <c r="H116" s="219" t="s">
        <v>557</v>
      </c>
      <c r="I116" s="109">
        <v>1245000</v>
      </c>
      <c r="J116" s="109">
        <v>20</v>
      </c>
      <c r="K116" s="109">
        <v>1</v>
      </c>
      <c r="L116" s="109">
        <v>1</v>
      </c>
      <c r="M116" s="109">
        <v>1</v>
      </c>
      <c r="N116" s="107">
        <f t="shared" si="14"/>
        <v>24900000</v>
      </c>
      <c r="O116" s="109">
        <v>1245000</v>
      </c>
      <c r="P116" s="109">
        <v>20</v>
      </c>
      <c r="Q116" s="109">
        <v>1</v>
      </c>
      <c r="R116" s="109">
        <v>1</v>
      </c>
      <c r="S116" s="109">
        <v>1</v>
      </c>
      <c r="T116" s="107">
        <f t="shared" si="10"/>
        <v>24900000</v>
      </c>
      <c r="U116" s="109">
        <v>1245000</v>
      </c>
      <c r="V116" s="109">
        <v>20</v>
      </c>
      <c r="W116" s="109">
        <v>1</v>
      </c>
      <c r="X116" s="109">
        <v>1</v>
      </c>
      <c r="Y116" s="109">
        <v>1</v>
      </c>
      <c r="Z116" s="107">
        <f t="shared" si="11"/>
        <v>24900000</v>
      </c>
      <c r="AA116" s="109">
        <v>1245000</v>
      </c>
      <c r="AB116" s="109">
        <v>20</v>
      </c>
      <c r="AC116" s="109">
        <v>1</v>
      </c>
      <c r="AD116" s="109">
        <v>1</v>
      </c>
      <c r="AE116" s="109">
        <v>1</v>
      </c>
      <c r="AF116" s="107">
        <f t="shared" si="12"/>
        <v>24900000</v>
      </c>
      <c r="AG116" s="109">
        <v>1245000</v>
      </c>
      <c r="AH116" s="109">
        <v>20</v>
      </c>
      <c r="AI116" s="109">
        <v>1</v>
      </c>
      <c r="AJ116" s="109">
        <v>1</v>
      </c>
      <c r="AK116" s="109">
        <v>1</v>
      </c>
      <c r="AL116" s="107">
        <f t="shared" si="13"/>
        <v>24900000</v>
      </c>
    </row>
    <row r="117" spans="1:38" ht="33.75">
      <c r="A117" s="212" t="s">
        <v>139</v>
      </c>
      <c r="B117" s="212" t="s">
        <v>93</v>
      </c>
      <c r="C117" s="141"/>
      <c r="D117" s="222" t="s">
        <v>422</v>
      </c>
      <c r="E117" s="214" t="s">
        <v>427</v>
      </c>
      <c r="F117" s="215" t="s">
        <v>493</v>
      </c>
      <c r="G117" s="217" t="s">
        <v>322</v>
      </c>
      <c r="H117" s="219" t="s">
        <v>557</v>
      </c>
      <c r="I117" s="109">
        <v>25000000</v>
      </c>
      <c r="J117" s="109">
        <v>1</v>
      </c>
      <c r="K117" s="109">
        <v>1</v>
      </c>
      <c r="L117" s="109">
        <v>1</v>
      </c>
      <c r="M117" s="109">
        <v>1</v>
      </c>
      <c r="N117" s="107">
        <f t="shared" si="14"/>
        <v>25000000</v>
      </c>
      <c r="O117" s="109">
        <v>25000000</v>
      </c>
      <c r="P117" s="109">
        <v>1</v>
      </c>
      <c r="Q117" s="109">
        <v>1</v>
      </c>
      <c r="R117" s="109">
        <v>1</v>
      </c>
      <c r="S117" s="109">
        <v>1</v>
      </c>
      <c r="T117" s="107">
        <f t="shared" si="10"/>
        <v>25000000</v>
      </c>
      <c r="U117" s="109">
        <v>25000000</v>
      </c>
      <c r="V117" s="109">
        <v>1</v>
      </c>
      <c r="W117" s="109">
        <v>1</v>
      </c>
      <c r="X117" s="109">
        <v>1</v>
      </c>
      <c r="Y117" s="109">
        <v>1</v>
      </c>
      <c r="Z117" s="107">
        <f t="shared" si="11"/>
        <v>25000000</v>
      </c>
      <c r="AA117" s="109">
        <v>25000000</v>
      </c>
      <c r="AB117" s="109">
        <v>1</v>
      </c>
      <c r="AC117" s="109">
        <v>1</v>
      </c>
      <c r="AD117" s="109">
        <v>1</v>
      </c>
      <c r="AE117" s="109">
        <v>1</v>
      </c>
      <c r="AF117" s="107">
        <f t="shared" si="12"/>
        <v>25000000</v>
      </c>
      <c r="AG117" s="109">
        <v>25000000</v>
      </c>
      <c r="AH117" s="109">
        <v>1</v>
      </c>
      <c r="AI117" s="109">
        <v>1</v>
      </c>
      <c r="AJ117" s="109">
        <v>1</v>
      </c>
      <c r="AK117" s="109">
        <v>1</v>
      </c>
      <c r="AL117" s="107">
        <f t="shared" si="13"/>
        <v>25000000</v>
      </c>
    </row>
    <row r="118" spans="1:38" s="242" customFormat="1" ht="33.75">
      <c r="A118" s="237" t="s">
        <v>139</v>
      </c>
      <c r="B118" s="237" t="s">
        <v>93</v>
      </c>
      <c r="C118" s="238"/>
      <c r="D118" s="222" t="s">
        <v>422</v>
      </c>
      <c r="E118" s="214" t="s">
        <v>428</v>
      </c>
      <c r="F118" s="215" t="s">
        <v>492</v>
      </c>
      <c r="G118" s="239" t="s">
        <v>512</v>
      </c>
      <c r="H118" s="219" t="s">
        <v>542</v>
      </c>
      <c r="I118" s="240">
        <v>5000000</v>
      </c>
      <c r="J118" s="240">
        <v>1</v>
      </c>
      <c r="K118" s="240">
        <v>1</v>
      </c>
      <c r="L118" s="240">
        <v>1</v>
      </c>
      <c r="M118" s="240">
        <v>1</v>
      </c>
      <c r="N118" s="241">
        <f t="shared" si="14"/>
        <v>5000000</v>
      </c>
      <c r="O118" s="240"/>
      <c r="P118" s="240"/>
      <c r="Q118" s="240"/>
      <c r="R118" s="240"/>
      <c r="S118" s="240"/>
      <c r="T118" s="241">
        <f t="shared" si="10"/>
        <v>0</v>
      </c>
      <c r="U118" s="240"/>
      <c r="V118" s="240"/>
      <c r="W118" s="240"/>
      <c r="X118" s="240"/>
      <c r="Y118" s="240"/>
      <c r="Z118" s="241">
        <f t="shared" si="11"/>
        <v>0</v>
      </c>
      <c r="AA118" s="240"/>
      <c r="AB118" s="240"/>
      <c r="AC118" s="240"/>
      <c r="AD118" s="240"/>
      <c r="AE118" s="240"/>
      <c r="AF118" s="241">
        <f t="shared" si="12"/>
        <v>0</v>
      </c>
      <c r="AG118" s="240"/>
      <c r="AH118" s="240"/>
      <c r="AI118" s="240"/>
      <c r="AJ118" s="240"/>
      <c r="AK118" s="240"/>
      <c r="AL118" s="241">
        <f t="shared" si="13"/>
        <v>0</v>
      </c>
    </row>
    <row r="119" spans="1:38" ht="78.75">
      <c r="A119" s="212" t="s">
        <v>139</v>
      </c>
      <c r="B119" s="212" t="s">
        <v>93</v>
      </c>
      <c r="C119" s="141"/>
      <c r="D119" s="222" t="s">
        <v>429</v>
      </c>
      <c r="E119" s="214" t="s">
        <v>430</v>
      </c>
      <c r="F119" s="215" t="s">
        <v>492</v>
      </c>
      <c r="G119" s="217" t="s">
        <v>322</v>
      </c>
      <c r="H119" s="219" t="s">
        <v>556</v>
      </c>
      <c r="I119" s="109">
        <v>420000</v>
      </c>
      <c r="J119" s="109">
        <v>15</v>
      </c>
      <c r="K119" s="109">
        <v>5</v>
      </c>
      <c r="L119" s="109">
        <v>1</v>
      </c>
      <c r="M119" s="109">
        <v>1</v>
      </c>
      <c r="N119" s="107">
        <f t="shared" si="14"/>
        <v>31500000</v>
      </c>
      <c r="O119" s="109">
        <v>420000</v>
      </c>
      <c r="P119" s="109">
        <v>15</v>
      </c>
      <c r="Q119" s="109">
        <v>5</v>
      </c>
      <c r="R119" s="109">
        <v>1</v>
      </c>
      <c r="S119" s="109">
        <v>1</v>
      </c>
      <c r="T119" s="107">
        <f t="shared" si="10"/>
        <v>31500000</v>
      </c>
      <c r="U119" s="109">
        <v>420000</v>
      </c>
      <c r="V119" s="109">
        <v>15</v>
      </c>
      <c r="W119" s="109">
        <v>5</v>
      </c>
      <c r="X119" s="109">
        <v>1</v>
      </c>
      <c r="Y119" s="109">
        <v>1</v>
      </c>
      <c r="Z119" s="107">
        <f t="shared" si="11"/>
        <v>31500000</v>
      </c>
      <c r="AA119" s="109">
        <v>420000</v>
      </c>
      <c r="AB119" s="109">
        <v>15</v>
      </c>
      <c r="AC119" s="109">
        <v>5</v>
      </c>
      <c r="AD119" s="109">
        <v>1</v>
      </c>
      <c r="AE119" s="109">
        <v>1</v>
      </c>
      <c r="AF119" s="107">
        <f t="shared" si="12"/>
        <v>31500000</v>
      </c>
      <c r="AG119" s="109">
        <v>420000</v>
      </c>
      <c r="AH119" s="109">
        <v>15</v>
      </c>
      <c r="AI119" s="109">
        <v>5</v>
      </c>
      <c r="AJ119" s="109">
        <v>1</v>
      </c>
      <c r="AK119" s="109">
        <v>1</v>
      </c>
      <c r="AL119" s="107">
        <f t="shared" si="13"/>
        <v>31500000</v>
      </c>
    </row>
    <row r="120" spans="1:38" ht="78.75">
      <c r="A120" s="212" t="s">
        <v>139</v>
      </c>
      <c r="B120" s="212" t="s">
        <v>93</v>
      </c>
      <c r="C120" s="141"/>
      <c r="D120" s="222" t="s">
        <v>429</v>
      </c>
      <c r="E120" s="214" t="s">
        <v>431</v>
      </c>
      <c r="F120" s="215" t="s">
        <v>595</v>
      </c>
      <c r="G120" s="217" t="s">
        <v>322</v>
      </c>
      <c r="H120" s="219" t="s">
        <v>555</v>
      </c>
      <c r="I120" s="109">
        <v>660000</v>
      </c>
      <c r="J120" s="109">
        <v>25</v>
      </c>
      <c r="K120" s="109">
        <v>5</v>
      </c>
      <c r="L120" s="109">
        <v>1</v>
      </c>
      <c r="M120" s="109">
        <v>1</v>
      </c>
      <c r="N120" s="107">
        <f t="shared" si="14"/>
        <v>82500000</v>
      </c>
      <c r="O120" s="109">
        <v>660000</v>
      </c>
      <c r="P120" s="109">
        <v>25</v>
      </c>
      <c r="Q120" s="109">
        <v>5</v>
      </c>
      <c r="R120" s="109">
        <v>1</v>
      </c>
      <c r="S120" s="109">
        <v>1</v>
      </c>
      <c r="T120" s="107">
        <f t="shared" si="10"/>
        <v>82500000</v>
      </c>
      <c r="U120" s="109">
        <v>660000</v>
      </c>
      <c r="V120" s="109">
        <v>25</v>
      </c>
      <c r="W120" s="109">
        <v>5</v>
      </c>
      <c r="X120" s="109">
        <v>1</v>
      </c>
      <c r="Y120" s="109">
        <v>1</v>
      </c>
      <c r="Z120" s="107">
        <f t="shared" si="11"/>
        <v>82500000</v>
      </c>
      <c r="AA120" s="109">
        <v>660000</v>
      </c>
      <c r="AB120" s="109">
        <v>25</v>
      </c>
      <c r="AC120" s="109">
        <v>5</v>
      </c>
      <c r="AD120" s="109">
        <v>1</v>
      </c>
      <c r="AE120" s="109">
        <v>1</v>
      </c>
      <c r="AF120" s="107">
        <f t="shared" si="12"/>
        <v>82500000</v>
      </c>
      <c r="AG120" s="109">
        <v>660000</v>
      </c>
      <c r="AH120" s="109">
        <v>25</v>
      </c>
      <c r="AI120" s="109">
        <v>5</v>
      </c>
      <c r="AJ120" s="109">
        <v>1</v>
      </c>
      <c r="AK120" s="109">
        <v>1</v>
      </c>
      <c r="AL120" s="107">
        <f t="shared" si="13"/>
        <v>82500000</v>
      </c>
    </row>
    <row r="121" spans="1:38" ht="78.75">
      <c r="A121" s="212" t="s">
        <v>139</v>
      </c>
      <c r="B121" s="212" t="s">
        <v>93</v>
      </c>
      <c r="C121" s="141"/>
      <c r="D121" s="222" t="s">
        <v>429</v>
      </c>
      <c r="E121" s="214" t="s">
        <v>601</v>
      </c>
      <c r="F121" s="215" t="s">
        <v>496</v>
      </c>
      <c r="G121" s="217" t="s">
        <v>322</v>
      </c>
      <c r="H121" s="219" t="s">
        <v>556</v>
      </c>
      <c r="I121" s="109">
        <v>420000</v>
      </c>
      <c r="J121" s="109">
        <v>15</v>
      </c>
      <c r="K121" s="109">
        <v>5</v>
      </c>
      <c r="L121" s="109">
        <v>1</v>
      </c>
      <c r="M121" s="109">
        <v>1</v>
      </c>
      <c r="N121" s="107">
        <f t="shared" si="14"/>
        <v>31500000</v>
      </c>
      <c r="O121" s="109"/>
      <c r="P121" s="109"/>
      <c r="Q121" s="109"/>
      <c r="R121" s="109"/>
      <c r="S121" s="109"/>
      <c r="T121" s="107">
        <f t="shared" si="10"/>
        <v>0</v>
      </c>
      <c r="U121" s="109"/>
      <c r="V121" s="109"/>
      <c r="W121" s="109"/>
      <c r="X121" s="109"/>
      <c r="Y121" s="109"/>
      <c r="Z121" s="107">
        <f t="shared" si="11"/>
        <v>0</v>
      </c>
      <c r="AA121" s="109"/>
      <c r="AB121" s="109"/>
      <c r="AC121" s="109"/>
      <c r="AD121" s="109"/>
      <c r="AE121" s="109"/>
      <c r="AF121" s="107">
        <f t="shared" si="12"/>
        <v>0</v>
      </c>
      <c r="AG121" s="109"/>
      <c r="AH121" s="109"/>
      <c r="AI121" s="109"/>
      <c r="AJ121" s="109"/>
      <c r="AK121" s="109"/>
      <c r="AL121" s="107">
        <f t="shared" si="13"/>
        <v>0</v>
      </c>
    </row>
    <row r="122" spans="1:38" ht="78.75">
      <c r="A122" s="212" t="s">
        <v>139</v>
      </c>
      <c r="B122" s="212" t="s">
        <v>93</v>
      </c>
      <c r="C122" s="141"/>
      <c r="D122" s="222" t="s">
        <v>429</v>
      </c>
      <c r="E122" s="214" t="s">
        <v>602</v>
      </c>
      <c r="F122" s="215" t="s">
        <v>497</v>
      </c>
      <c r="G122" s="217" t="s">
        <v>322</v>
      </c>
      <c r="H122" s="219" t="s">
        <v>555</v>
      </c>
      <c r="I122" s="109">
        <v>4166667</v>
      </c>
      <c r="J122" s="109">
        <v>4</v>
      </c>
      <c r="K122" s="109">
        <v>3</v>
      </c>
      <c r="L122" s="109">
        <v>1</v>
      </c>
      <c r="M122" s="109">
        <v>1</v>
      </c>
      <c r="N122" s="107">
        <f t="shared" si="14"/>
        <v>50000004</v>
      </c>
      <c r="O122" s="109">
        <v>4166667</v>
      </c>
      <c r="P122" s="109">
        <v>4</v>
      </c>
      <c r="Q122" s="109">
        <v>3</v>
      </c>
      <c r="R122" s="109">
        <v>1</v>
      </c>
      <c r="S122" s="109">
        <v>1</v>
      </c>
      <c r="T122" s="107">
        <f t="shared" si="10"/>
        <v>50000004</v>
      </c>
      <c r="U122" s="109">
        <v>4166667</v>
      </c>
      <c r="V122" s="109">
        <v>4</v>
      </c>
      <c r="W122" s="109">
        <v>3</v>
      </c>
      <c r="X122" s="109">
        <v>1</v>
      </c>
      <c r="Y122" s="109">
        <v>1</v>
      </c>
      <c r="Z122" s="107">
        <f t="shared" si="11"/>
        <v>50000004</v>
      </c>
      <c r="AA122" s="109">
        <v>4166667</v>
      </c>
      <c r="AB122" s="109">
        <v>4</v>
      </c>
      <c r="AC122" s="109">
        <v>3</v>
      </c>
      <c r="AD122" s="109">
        <v>1</v>
      </c>
      <c r="AE122" s="109">
        <v>1</v>
      </c>
      <c r="AF122" s="107">
        <f t="shared" si="12"/>
        <v>50000004</v>
      </c>
      <c r="AG122" s="109">
        <v>4166667</v>
      </c>
      <c r="AH122" s="109">
        <v>4</v>
      </c>
      <c r="AI122" s="109">
        <v>3</v>
      </c>
      <c r="AJ122" s="109">
        <v>1</v>
      </c>
      <c r="AK122" s="109">
        <v>1</v>
      </c>
      <c r="AL122" s="107">
        <f t="shared" si="13"/>
        <v>50000004</v>
      </c>
    </row>
    <row r="123" spans="1:38" ht="78.75">
      <c r="A123" s="212" t="s">
        <v>139</v>
      </c>
      <c r="B123" s="212" t="s">
        <v>93</v>
      </c>
      <c r="C123" s="141"/>
      <c r="D123" s="222" t="s">
        <v>429</v>
      </c>
      <c r="E123" s="214" t="s">
        <v>432</v>
      </c>
      <c r="F123" s="215" t="s">
        <v>492</v>
      </c>
      <c r="G123" s="217" t="s">
        <v>513</v>
      </c>
      <c r="H123" s="219" t="s">
        <v>542</v>
      </c>
      <c r="I123" s="109">
        <v>520000</v>
      </c>
      <c r="J123" s="109">
        <v>25</v>
      </c>
      <c r="K123" s="109">
        <v>5</v>
      </c>
      <c r="L123" s="109">
        <v>1</v>
      </c>
      <c r="M123" s="109">
        <v>1</v>
      </c>
      <c r="N123" s="107">
        <f t="shared" si="14"/>
        <v>65000000</v>
      </c>
      <c r="O123" s="109"/>
      <c r="P123" s="109"/>
      <c r="Q123" s="109"/>
      <c r="R123" s="109"/>
      <c r="S123" s="109"/>
      <c r="T123" s="107">
        <f t="shared" si="10"/>
        <v>0</v>
      </c>
      <c r="U123" s="109"/>
      <c r="V123" s="109"/>
      <c r="W123" s="109"/>
      <c r="X123" s="109"/>
      <c r="Y123" s="109"/>
      <c r="Z123" s="107">
        <f t="shared" si="11"/>
        <v>0</v>
      </c>
      <c r="AA123" s="109"/>
      <c r="AB123" s="109"/>
      <c r="AC123" s="109"/>
      <c r="AD123" s="109"/>
      <c r="AE123" s="109"/>
      <c r="AF123" s="107">
        <f t="shared" si="12"/>
        <v>0</v>
      </c>
      <c r="AG123" s="109"/>
      <c r="AH123" s="109"/>
      <c r="AI123" s="109"/>
      <c r="AJ123" s="109"/>
      <c r="AK123" s="109"/>
      <c r="AL123" s="107">
        <f t="shared" si="13"/>
        <v>0</v>
      </c>
    </row>
    <row r="124" spans="1:38" ht="33.75">
      <c r="A124" s="212" t="s">
        <v>144</v>
      </c>
      <c r="B124" s="212" t="s">
        <v>87</v>
      </c>
      <c r="C124" s="141"/>
      <c r="D124" s="222" t="s">
        <v>433</v>
      </c>
      <c r="E124" s="214" t="s">
        <v>639</v>
      </c>
      <c r="F124" s="215" t="s">
        <v>498</v>
      </c>
      <c r="G124" s="217" t="s">
        <v>322</v>
      </c>
      <c r="H124" s="219" t="s">
        <v>556</v>
      </c>
      <c r="I124" s="109">
        <v>583077</v>
      </c>
      <c r="J124" s="109">
        <v>26</v>
      </c>
      <c r="K124" s="109">
        <v>5</v>
      </c>
      <c r="L124" s="109">
        <v>1</v>
      </c>
      <c r="M124" s="109">
        <v>1</v>
      </c>
      <c r="N124" s="107">
        <f t="shared" si="14"/>
        <v>75800010</v>
      </c>
      <c r="O124" s="109">
        <v>583077</v>
      </c>
      <c r="P124" s="109">
        <v>26</v>
      </c>
      <c r="Q124" s="109">
        <v>5</v>
      </c>
      <c r="R124" s="109">
        <v>1</v>
      </c>
      <c r="S124" s="109">
        <v>1</v>
      </c>
      <c r="T124" s="107">
        <f t="shared" si="10"/>
        <v>75800010</v>
      </c>
      <c r="U124" s="109">
        <v>583077</v>
      </c>
      <c r="V124" s="109">
        <v>26</v>
      </c>
      <c r="W124" s="109">
        <v>5</v>
      </c>
      <c r="X124" s="109">
        <v>1</v>
      </c>
      <c r="Y124" s="109">
        <v>1</v>
      </c>
      <c r="Z124" s="107">
        <f t="shared" si="11"/>
        <v>75800010</v>
      </c>
      <c r="AA124" s="109">
        <v>583077</v>
      </c>
      <c r="AB124" s="109">
        <v>26</v>
      </c>
      <c r="AC124" s="109">
        <v>5</v>
      </c>
      <c r="AD124" s="109">
        <v>1</v>
      </c>
      <c r="AE124" s="109">
        <v>1</v>
      </c>
      <c r="AF124" s="107">
        <f t="shared" si="12"/>
        <v>75800010</v>
      </c>
      <c r="AG124" s="109">
        <v>583077</v>
      </c>
      <c r="AH124" s="109">
        <v>26</v>
      </c>
      <c r="AI124" s="109">
        <v>5</v>
      </c>
      <c r="AJ124" s="109">
        <v>1</v>
      </c>
      <c r="AK124" s="109">
        <v>1</v>
      </c>
      <c r="AL124" s="107">
        <f t="shared" si="13"/>
        <v>75800010</v>
      </c>
    </row>
    <row r="125" spans="1:38" s="242" customFormat="1" ht="22.5">
      <c r="A125" s="237" t="s">
        <v>144</v>
      </c>
      <c r="B125" s="237" t="s">
        <v>87</v>
      </c>
      <c r="C125" s="238"/>
      <c r="D125" s="244" t="s">
        <v>433</v>
      </c>
      <c r="E125" s="214" t="s">
        <v>499</v>
      </c>
      <c r="F125" s="215" t="s">
        <v>492</v>
      </c>
      <c r="G125" s="239" t="s">
        <v>322</v>
      </c>
      <c r="H125" s="219" t="s">
        <v>640</v>
      </c>
      <c r="I125" s="240">
        <v>660000</v>
      </c>
      <c r="J125" s="240">
        <v>20</v>
      </c>
      <c r="K125" s="240">
        <v>5</v>
      </c>
      <c r="L125" s="240">
        <v>1</v>
      </c>
      <c r="M125" s="240">
        <v>1</v>
      </c>
      <c r="N125" s="241">
        <f t="shared" si="14"/>
        <v>66000000</v>
      </c>
      <c r="O125" s="240"/>
      <c r="P125" s="240"/>
      <c r="Q125" s="240"/>
      <c r="R125" s="240"/>
      <c r="S125" s="240"/>
      <c r="T125" s="241">
        <f t="shared" si="10"/>
        <v>0</v>
      </c>
      <c r="U125" s="240"/>
      <c r="V125" s="240"/>
      <c r="W125" s="240"/>
      <c r="X125" s="240"/>
      <c r="Y125" s="240"/>
      <c r="Z125" s="241">
        <f t="shared" si="11"/>
        <v>0</v>
      </c>
      <c r="AA125" s="240"/>
      <c r="AB125" s="240"/>
      <c r="AC125" s="240"/>
      <c r="AD125" s="240"/>
      <c r="AE125" s="240"/>
      <c r="AF125" s="241">
        <f t="shared" si="12"/>
        <v>0</v>
      </c>
      <c r="AG125" s="240"/>
      <c r="AH125" s="240"/>
      <c r="AI125" s="240"/>
      <c r="AJ125" s="240"/>
      <c r="AK125" s="240"/>
      <c r="AL125" s="241">
        <f t="shared" si="13"/>
        <v>0</v>
      </c>
    </row>
    <row r="126" spans="1:38" s="242" customFormat="1" ht="37.5" customHeight="1">
      <c r="A126" s="237" t="s">
        <v>144</v>
      </c>
      <c r="B126" s="237" t="s">
        <v>87</v>
      </c>
      <c r="C126" s="238"/>
      <c r="D126" s="222" t="s">
        <v>434</v>
      </c>
      <c r="E126" s="214" t="s">
        <v>435</v>
      </c>
      <c r="F126" s="215" t="s">
        <v>498</v>
      </c>
      <c r="G126" s="239" t="s">
        <v>322</v>
      </c>
      <c r="H126" s="219" t="s">
        <v>556</v>
      </c>
      <c r="I126" s="240">
        <v>505250</v>
      </c>
      <c r="J126" s="240">
        <v>32</v>
      </c>
      <c r="K126" s="240">
        <v>2</v>
      </c>
      <c r="L126" s="240">
        <v>1</v>
      </c>
      <c r="M126" s="240">
        <v>1</v>
      </c>
      <c r="N126" s="241">
        <f t="shared" si="14"/>
        <v>32336000</v>
      </c>
      <c r="O126" s="240">
        <v>505250</v>
      </c>
      <c r="P126" s="240">
        <v>32</v>
      </c>
      <c r="Q126" s="240">
        <v>2</v>
      </c>
      <c r="R126" s="240">
        <v>1</v>
      </c>
      <c r="S126" s="240">
        <v>1</v>
      </c>
      <c r="T126" s="241">
        <f t="shared" si="10"/>
        <v>32336000</v>
      </c>
      <c r="U126" s="240">
        <v>505250</v>
      </c>
      <c r="V126" s="240">
        <v>32</v>
      </c>
      <c r="W126" s="240">
        <v>2</v>
      </c>
      <c r="X126" s="240">
        <v>1</v>
      </c>
      <c r="Y126" s="240">
        <v>1</v>
      </c>
      <c r="Z126" s="241">
        <f t="shared" si="11"/>
        <v>32336000</v>
      </c>
      <c r="AA126" s="240">
        <v>505250</v>
      </c>
      <c r="AB126" s="240">
        <v>32</v>
      </c>
      <c r="AC126" s="240">
        <v>2</v>
      </c>
      <c r="AD126" s="240">
        <v>1</v>
      </c>
      <c r="AE126" s="240">
        <v>1</v>
      </c>
      <c r="AF126" s="241">
        <f t="shared" si="12"/>
        <v>32336000</v>
      </c>
      <c r="AG126" s="240">
        <v>505250</v>
      </c>
      <c r="AH126" s="240">
        <v>32</v>
      </c>
      <c r="AI126" s="240">
        <v>2</v>
      </c>
      <c r="AJ126" s="240">
        <v>1</v>
      </c>
      <c r="AK126" s="240">
        <v>1</v>
      </c>
      <c r="AL126" s="241">
        <f t="shared" si="13"/>
        <v>32336000</v>
      </c>
    </row>
    <row r="127" spans="1:38" s="242" customFormat="1" ht="46.5" customHeight="1">
      <c r="A127" s="237" t="s">
        <v>144</v>
      </c>
      <c r="B127" s="237" t="s">
        <v>87</v>
      </c>
      <c r="C127" s="238"/>
      <c r="D127" s="222" t="s">
        <v>434</v>
      </c>
      <c r="E127" s="214" t="s">
        <v>641</v>
      </c>
      <c r="F127" s="215" t="s">
        <v>498</v>
      </c>
      <c r="G127" s="239" t="s">
        <v>322</v>
      </c>
      <c r="H127" s="219" t="s">
        <v>556</v>
      </c>
      <c r="I127" s="231">
        <v>578333</v>
      </c>
      <c r="J127" s="231">
        <v>542</v>
      </c>
      <c r="K127" s="231">
        <v>5</v>
      </c>
      <c r="L127" s="231">
        <v>1</v>
      </c>
      <c r="M127" s="231">
        <v>1</v>
      </c>
      <c r="N127" s="241">
        <f t="shared" si="14"/>
        <v>1567282430</v>
      </c>
      <c r="O127" s="231">
        <v>578333</v>
      </c>
      <c r="P127" s="231">
        <v>542</v>
      </c>
      <c r="Q127" s="231">
        <v>5</v>
      </c>
      <c r="R127" s="231">
        <v>1</v>
      </c>
      <c r="S127" s="231">
        <v>1</v>
      </c>
      <c r="T127" s="241">
        <f t="shared" ref="T127:T132" si="15">PRODUCT(O127:S127)</f>
        <v>1567282430</v>
      </c>
      <c r="U127" s="231">
        <v>578333</v>
      </c>
      <c r="V127" s="231">
        <v>542</v>
      </c>
      <c r="W127" s="231">
        <v>5</v>
      </c>
      <c r="X127" s="231">
        <v>1</v>
      </c>
      <c r="Y127" s="231">
        <v>1</v>
      </c>
      <c r="Z127" s="241">
        <f t="shared" si="11"/>
        <v>1567282430</v>
      </c>
      <c r="AA127" s="231">
        <v>578333</v>
      </c>
      <c r="AB127" s="231">
        <v>542</v>
      </c>
      <c r="AC127" s="231">
        <v>5</v>
      </c>
      <c r="AD127" s="231">
        <v>1</v>
      </c>
      <c r="AE127" s="231">
        <v>1</v>
      </c>
      <c r="AF127" s="241">
        <f t="shared" si="12"/>
        <v>1567282430</v>
      </c>
      <c r="AG127" s="231">
        <v>578333</v>
      </c>
      <c r="AH127" s="231">
        <v>542</v>
      </c>
      <c r="AI127" s="231">
        <v>5</v>
      </c>
      <c r="AJ127" s="231">
        <v>1</v>
      </c>
      <c r="AK127" s="231">
        <v>1</v>
      </c>
      <c r="AL127" s="241">
        <f t="shared" si="13"/>
        <v>1567282430</v>
      </c>
    </row>
    <row r="128" spans="1:38" s="242" customFormat="1" ht="56.25">
      <c r="A128" s="237" t="s">
        <v>144</v>
      </c>
      <c r="B128" s="237" t="s">
        <v>87</v>
      </c>
      <c r="C128" s="238"/>
      <c r="D128" s="222" t="s">
        <v>436</v>
      </c>
      <c r="E128" s="214" t="s">
        <v>437</v>
      </c>
      <c r="F128" s="215" t="s">
        <v>500</v>
      </c>
      <c r="G128" s="239" t="s">
        <v>513</v>
      </c>
      <c r="H128" s="219" t="s">
        <v>608</v>
      </c>
      <c r="I128" s="240">
        <v>570000</v>
      </c>
      <c r="J128" s="240">
        <v>12</v>
      </c>
      <c r="K128" s="240">
        <v>4</v>
      </c>
      <c r="L128" s="240">
        <v>1</v>
      </c>
      <c r="M128" s="240">
        <v>1</v>
      </c>
      <c r="N128" s="241">
        <f t="shared" si="14"/>
        <v>27360000</v>
      </c>
      <c r="O128" s="240">
        <v>570000</v>
      </c>
      <c r="P128" s="240">
        <v>12</v>
      </c>
      <c r="Q128" s="240">
        <v>4</v>
      </c>
      <c r="R128" s="240">
        <v>1</v>
      </c>
      <c r="S128" s="240">
        <v>1</v>
      </c>
      <c r="T128" s="241">
        <f t="shared" si="15"/>
        <v>27360000</v>
      </c>
      <c r="U128" s="240">
        <v>570000</v>
      </c>
      <c r="V128" s="240">
        <v>12</v>
      </c>
      <c r="W128" s="240">
        <v>4</v>
      </c>
      <c r="X128" s="240">
        <v>1</v>
      </c>
      <c r="Y128" s="240">
        <v>1</v>
      </c>
      <c r="Z128" s="241">
        <f t="shared" ref="Z128:Z132" si="16">PRODUCT(U128:Y128)</f>
        <v>27360000</v>
      </c>
      <c r="AA128" s="240">
        <v>570000</v>
      </c>
      <c r="AB128" s="240">
        <v>12</v>
      </c>
      <c r="AC128" s="240">
        <v>4</v>
      </c>
      <c r="AD128" s="240">
        <v>1</v>
      </c>
      <c r="AE128" s="240">
        <v>1</v>
      </c>
      <c r="AF128" s="241">
        <f t="shared" ref="AF128:AF132" si="17">PRODUCT(AA128:AE128)</f>
        <v>27360000</v>
      </c>
      <c r="AG128" s="240">
        <v>570000</v>
      </c>
      <c r="AH128" s="240">
        <v>12</v>
      </c>
      <c r="AI128" s="240">
        <v>4</v>
      </c>
      <c r="AJ128" s="240">
        <v>1</v>
      </c>
      <c r="AK128" s="240">
        <v>1</v>
      </c>
      <c r="AL128" s="241">
        <f t="shared" ref="AL128:AL132" si="18">PRODUCT(AG128:AK128)</f>
        <v>27360000</v>
      </c>
    </row>
    <row r="129" spans="1:38" ht="56.25">
      <c r="A129" s="212" t="s">
        <v>144</v>
      </c>
      <c r="B129" s="212" t="s">
        <v>87</v>
      </c>
      <c r="C129" s="141"/>
      <c r="D129" s="222" t="s">
        <v>436</v>
      </c>
      <c r="E129" s="214" t="s">
        <v>438</v>
      </c>
      <c r="F129" s="215" t="s">
        <v>501</v>
      </c>
      <c r="G129" s="217" t="s">
        <v>322</v>
      </c>
      <c r="H129" s="219" t="s">
        <v>556</v>
      </c>
      <c r="I129" s="109">
        <v>527966</v>
      </c>
      <c r="J129" s="109">
        <v>26</v>
      </c>
      <c r="K129" s="109">
        <v>7</v>
      </c>
      <c r="L129" s="109">
        <v>1</v>
      </c>
      <c r="M129" s="109">
        <v>1</v>
      </c>
      <c r="N129" s="107">
        <f t="shared" ref="N129" si="19">PRODUCT(I129:M129)</f>
        <v>96089812</v>
      </c>
      <c r="O129" s="109">
        <v>527966</v>
      </c>
      <c r="P129" s="109">
        <v>26</v>
      </c>
      <c r="Q129" s="109">
        <v>7</v>
      </c>
      <c r="R129" s="109">
        <v>1</v>
      </c>
      <c r="S129" s="109">
        <v>1</v>
      </c>
      <c r="T129" s="107">
        <f t="shared" si="15"/>
        <v>96089812</v>
      </c>
      <c r="U129" s="109">
        <v>527966</v>
      </c>
      <c r="V129" s="109">
        <v>26</v>
      </c>
      <c r="W129" s="109">
        <v>7</v>
      </c>
      <c r="X129" s="109">
        <v>1</v>
      </c>
      <c r="Y129" s="109">
        <v>1</v>
      </c>
      <c r="Z129" s="107">
        <f t="shared" si="16"/>
        <v>96089812</v>
      </c>
      <c r="AA129" s="109">
        <v>527966</v>
      </c>
      <c r="AB129" s="109">
        <v>26</v>
      </c>
      <c r="AC129" s="109">
        <v>7</v>
      </c>
      <c r="AD129" s="109">
        <v>1</v>
      </c>
      <c r="AE129" s="109">
        <v>1</v>
      </c>
      <c r="AF129" s="107">
        <f t="shared" si="17"/>
        <v>96089812</v>
      </c>
      <c r="AG129" s="109">
        <v>527966</v>
      </c>
      <c r="AH129" s="109">
        <v>26</v>
      </c>
      <c r="AI129" s="109">
        <v>7</v>
      </c>
      <c r="AJ129" s="109">
        <v>1</v>
      </c>
      <c r="AK129" s="109">
        <v>1</v>
      </c>
      <c r="AL129" s="107">
        <f t="shared" si="18"/>
        <v>96089812</v>
      </c>
    </row>
    <row r="130" spans="1:38" ht="56.25">
      <c r="A130" s="212" t="s">
        <v>144</v>
      </c>
      <c r="B130" s="212" t="s">
        <v>87</v>
      </c>
      <c r="C130" s="141"/>
      <c r="D130" s="222" t="s">
        <v>436</v>
      </c>
      <c r="E130" s="214" t="s">
        <v>584</v>
      </c>
      <c r="F130" s="215" t="s">
        <v>501</v>
      </c>
      <c r="G130" s="217" t="s">
        <v>322</v>
      </c>
      <c r="H130" s="219" t="s">
        <v>608</v>
      </c>
      <c r="I130" s="109">
        <v>5016246</v>
      </c>
      <c r="J130" s="109">
        <v>80</v>
      </c>
      <c r="K130" s="109">
        <v>1</v>
      </c>
      <c r="L130" s="109">
        <v>1</v>
      </c>
      <c r="M130" s="109">
        <v>1</v>
      </c>
      <c r="N130" s="107">
        <f t="shared" si="14"/>
        <v>401299680</v>
      </c>
      <c r="O130" s="109">
        <v>5016246</v>
      </c>
      <c r="P130" s="109">
        <v>80</v>
      </c>
      <c r="Q130" s="109">
        <v>1</v>
      </c>
      <c r="R130" s="109">
        <v>1</v>
      </c>
      <c r="S130" s="109">
        <v>1</v>
      </c>
      <c r="T130" s="107">
        <f t="shared" si="15"/>
        <v>401299680</v>
      </c>
      <c r="U130" s="109">
        <v>5016246</v>
      </c>
      <c r="V130" s="109">
        <v>80</v>
      </c>
      <c r="W130" s="109">
        <v>1</v>
      </c>
      <c r="X130" s="109">
        <v>1</v>
      </c>
      <c r="Y130" s="109">
        <v>1</v>
      </c>
      <c r="Z130" s="107">
        <f t="shared" si="16"/>
        <v>401299680</v>
      </c>
      <c r="AA130" s="109">
        <v>5016246</v>
      </c>
      <c r="AB130" s="109">
        <v>80</v>
      </c>
      <c r="AC130" s="109">
        <v>1</v>
      </c>
      <c r="AD130" s="109">
        <v>1</v>
      </c>
      <c r="AE130" s="109">
        <v>1</v>
      </c>
      <c r="AF130" s="107">
        <f t="shared" si="17"/>
        <v>401299680</v>
      </c>
      <c r="AG130" s="109">
        <v>5016246</v>
      </c>
      <c r="AH130" s="109">
        <v>80</v>
      </c>
      <c r="AI130" s="109">
        <v>1</v>
      </c>
      <c r="AJ130" s="109">
        <v>1</v>
      </c>
      <c r="AK130" s="109">
        <v>1</v>
      </c>
      <c r="AL130" s="107">
        <f t="shared" si="18"/>
        <v>401299680</v>
      </c>
    </row>
    <row r="131" spans="1:38" s="242" customFormat="1" ht="56.25">
      <c r="A131" s="237" t="s">
        <v>144</v>
      </c>
      <c r="B131" s="237" t="s">
        <v>87</v>
      </c>
      <c r="C131" s="238"/>
      <c r="D131" s="222" t="s">
        <v>436</v>
      </c>
      <c r="E131" s="214" t="s">
        <v>439</v>
      </c>
      <c r="F131" s="215" t="s">
        <v>502</v>
      </c>
      <c r="G131" s="239" t="s">
        <v>322</v>
      </c>
      <c r="H131" s="219" t="s">
        <v>556</v>
      </c>
      <c r="I131" s="109">
        <v>294000</v>
      </c>
      <c r="J131" s="240">
        <v>24</v>
      </c>
      <c r="K131" s="240">
        <v>10</v>
      </c>
      <c r="L131" s="240">
        <v>1</v>
      </c>
      <c r="M131" s="240">
        <v>1</v>
      </c>
      <c r="N131" s="241">
        <f t="shared" si="14"/>
        <v>70560000</v>
      </c>
      <c r="O131" s="109">
        <v>294000</v>
      </c>
      <c r="P131" s="240">
        <v>24</v>
      </c>
      <c r="Q131" s="240">
        <v>10</v>
      </c>
      <c r="R131" s="240">
        <v>1</v>
      </c>
      <c r="S131" s="240">
        <v>1</v>
      </c>
      <c r="T131" s="241">
        <f t="shared" si="15"/>
        <v>70560000</v>
      </c>
      <c r="U131" s="109">
        <v>294000</v>
      </c>
      <c r="V131" s="240">
        <v>24</v>
      </c>
      <c r="W131" s="240">
        <v>10</v>
      </c>
      <c r="X131" s="240">
        <v>1</v>
      </c>
      <c r="Y131" s="240">
        <v>1</v>
      </c>
      <c r="Z131" s="241">
        <f t="shared" si="16"/>
        <v>70560000</v>
      </c>
      <c r="AA131" s="109">
        <v>294000</v>
      </c>
      <c r="AB131" s="240">
        <v>24</v>
      </c>
      <c r="AC131" s="240">
        <v>10</v>
      </c>
      <c r="AD131" s="240">
        <v>1</v>
      </c>
      <c r="AE131" s="240">
        <v>1</v>
      </c>
      <c r="AF131" s="241">
        <f t="shared" si="17"/>
        <v>70560000</v>
      </c>
      <c r="AG131" s="109">
        <v>294000</v>
      </c>
      <c r="AH131" s="240">
        <v>24</v>
      </c>
      <c r="AI131" s="240">
        <v>10</v>
      </c>
      <c r="AJ131" s="240">
        <v>1</v>
      </c>
      <c r="AK131" s="240">
        <v>1</v>
      </c>
      <c r="AL131" s="241">
        <f t="shared" si="18"/>
        <v>70560000</v>
      </c>
    </row>
    <row r="132" spans="1:38" ht="56.25">
      <c r="A132" s="212" t="s">
        <v>144</v>
      </c>
      <c r="B132" s="212" t="s">
        <v>87</v>
      </c>
      <c r="C132" s="141"/>
      <c r="D132" s="222" t="s">
        <v>436</v>
      </c>
      <c r="E132" s="214" t="s">
        <v>440</v>
      </c>
      <c r="F132" s="215" t="s">
        <v>502</v>
      </c>
      <c r="G132" s="217" t="s">
        <v>322</v>
      </c>
      <c r="H132" s="219" t="s">
        <v>609</v>
      </c>
      <c r="I132" s="147">
        <v>640000</v>
      </c>
      <c r="J132" s="109">
        <v>12</v>
      </c>
      <c r="K132" s="109">
        <v>12</v>
      </c>
      <c r="L132" s="109">
        <v>1</v>
      </c>
      <c r="M132" s="109">
        <v>1</v>
      </c>
      <c r="N132" s="107">
        <f t="shared" si="14"/>
        <v>92160000</v>
      </c>
      <c r="O132" s="147">
        <v>640000</v>
      </c>
      <c r="P132" s="109">
        <v>12</v>
      </c>
      <c r="Q132" s="109">
        <v>12</v>
      </c>
      <c r="R132" s="109">
        <v>1</v>
      </c>
      <c r="S132" s="109">
        <v>1</v>
      </c>
      <c r="T132" s="107">
        <f t="shared" si="15"/>
        <v>92160000</v>
      </c>
      <c r="U132" s="147">
        <v>640000</v>
      </c>
      <c r="V132" s="109">
        <v>12</v>
      </c>
      <c r="W132" s="109">
        <v>12</v>
      </c>
      <c r="X132" s="109">
        <v>1</v>
      </c>
      <c r="Y132" s="109">
        <v>1</v>
      </c>
      <c r="Z132" s="107">
        <f t="shared" si="16"/>
        <v>92160000</v>
      </c>
      <c r="AA132" s="147">
        <v>640000</v>
      </c>
      <c r="AB132" s="109">
        <v>12</v>
      </c>
      <c r="AC132" s="109">
        <v>12</v>
      </c>
      <c r="AD132" s="109">
        <v>1</v>
      </c>
      <c r="AE132" s="109">
        <v>1</v>
      </c>
      <c r="AF132" s="107">
        <f t="shared" si="17"/>
        <v>92160000</v>
      </c>
      <c r="AG132" s="147">
        <v>640000</v>
      </c>
      <c r="AH132" s="109">
        <v>12</v>
      </c>
      <c r="AI132" s="109">
        <v>12</v>
      </c>
      <c r="AJ132" s="109">
        <v>1</v>
      </c>
      <c r="AK132" s="109">
        <v>1</v>
      </c>
      <c r="AL132" s="107">
        <f t="shared" si="18"/>
        <v>92160000</v>
      </c>
    </row>
    <row r="133" spans="1:38" ht="56.25">
      <c r="A133" s="212" t="s">
        <v>144</v>
      </c>
      <c r="B133" s="212" t="s">
        <v>87</v>
      </c>
      <c r="C133" s="141"/>
      <c r="D133" s="222" t="s">
        <v>436</v>
      </c>
      <c r="E133" s="214" t="s">
        <v>441</v>
      </c>
      <c r="F133" s="215" t="s">
        <v>501</v>
      </c>
      <c r="G133" s="217" t="s">
        <v>322</v>
      </c>
      <c r="H133" s="219"/>
      <c r="I133" s="109">
        <v>555135</v>
      </c>
      <c r="J133" s="109">
        <v>37</v>
      </c>
      <c r="K133" s="109">
        <v>3</v>
      </c>
      <c r="L133" s="109">
        <v>1</v>
      </c>
      <c r="M133" s="109">
        <v>1</v>
      </c>
      <c r="N133" s="107">
        <f t="shared" si="14"/>
        <v>61619985</v>
      </c>
      <c r="O133" s="259"/>
      <c r="P133" s="259"/>
      <c r="Q133" s="259"/>
      <c r="R133" s="259"/>
      <c r="S133" s="259"/>
      <c r="T133" s="260"/>
      <c r="U133" s="109"/>
      <c r="V133" s="109"/>
      <c r="W133" s="109"/>
      <c r="X133" s="109"/>
      <c r="Y133" s="109"/>
      <c r="Z133" s="107">
        <f>PRODUCT(U133:Y133)</f>
        <v>0</v>
      </c>
      <c r="AA133" s="109"/>
      <c r="AB133" s="109"/>
      <c r="AC133" s="109"/>
      <c r="AD133" s="109"/>
      <c r="AE133" s="109"/>
      <c r="AF133" s="107">
        <f>PRODUCT(AA133:AE133)</f>
        <v>0</v>
      </c>
      <c r="AG133" s="109"/>
      <c r="AH133" s="109"/>
      <c r="AI133" s="109"/>
      <c r="AJ133" s="109"/>
      <c r="AK133" s="109"/>
      <c r="AL133" s="107">
        <f>PRODUCT(AG133:AK133)</f>
        <v>0</v>
      </c>
    </row>
    <row r="134" spans="1:38" ht="56.25">
      <c r="A134" s="212" t="s">
        <v>144</v>
      </c>
      <c r="B134" s="212" t="s">
        <v>87</v>
      </c>
      <c r="C134" s="141"/>
      <c r="D134" s="222" t="s">
        <v>436</v>
      </c>
      <c r="E134" s="214" t="s">
        <v>442</v>
      </c>
      <c r="F134" s="215" t="s">
        <v>501</v>
      </c>
      <c r="G134" s="217" t="s">
        <v>322</v>
      </c>
      <c r="H134" s="219" t="s">
        <v>610</v>
      </c>
      <c r="I134" s="109">
        <v>428710</v>
      </c>
      <c r="J134" s="109">
        <v>155</v>
      </c>
      <c r="K134" s="109">
        <v>1</v>
      </c>
      <c r="L134" s="109">
        <v>1</v>
      </c>
      <c r="M134" s="109">
        <v>1</v>
      </c>
      <c r="N134" s="107">
        <f t="shared" si="14"/>
        <v>66450050</v>
      </c>
      <c r="O134" s="109"/>
      <c r="P134" s="109"/>
      <c r="Q134" s="109"/>
      <c r="R134" s="109"/>
      <c r="S134" s="109"/>
      <c r="T134" s="107">
        <f t="shared" si="10"/>
        <v>0</v>
      </c>
      <c r="U134" s="109">
        <v>428710</v>
      </c>
      <c r="V134" s="109">
        <v>155</v>
      </c>
      <c r="W134" s="109">
        <v>1</v>
      </c>
      <c r="X134" s="109">
        <v>1</v>
      </c>
      <c r="Y134" s="109">
        <v>1</v>
      </c>
      <c r="Z134" s="107">
        <f t="shared" si="11"/>
        <v>66450050</v>
      </c>
      <c r="AA134" s="109"/>
      <c r="AB134" s="109"/>
      <c r="AC134" s="109"/>
      <c r="AD134" s="109"/>
      <c r="AE134" s="109"/>
      <c r="AF134" s="107">
        <f t="shared" si="12"/>
        <v>0</v>
      </c>
      <c r="AG134" s="109"/>
      <c r="AH134" s="109"/>
      <c r="AI134" s="109"/>
      <c r="AJ134" s="109"/>
      <c r="AK134" s="109"/>
      <c r="AL134" s="107">
        <f t="shared" si="13"/>
        <v>0</v>
      </c>
    </row>
    <row r="135" spans="1:38" ht="56.25">
      <c r="A135" s="212" t="s">
        <v>144</v>
      </c>
      <c r="B135" s="212" t="s">
        <v>87</v>
      </c>
      <c r="C135" s="141"/>
      <c r="D135" s="222" t="s">
        <v>436</v>
      </c>
      <c r="E135" s="214" t="s">
        <v>443</v>
      </c>
      <c r="F135" s="215" t="s">
        <v>501</v>
      </c>
      <c r="G135" s="217" t="s">
        <v>322</v>
      </c>
      <c r="H135" s="219" t="s">
        <v>556</v>
      </c>
      <c r="I135" s="109">
        <v>884404</v>
      </c>
      <c r="J135" s="109">
        <v>14</v>
      </c>
      <c r="K135" s="109">
        <v>51</v>
      </c>
      <c r="L135" s="109">
        <v>1</v>
      </c>
      <c r="M135" s="109">
        <v>1</v>
      </c>
      <c r="N135" s="107">
        <f t="shared" si="14"/>
        <v>631464456</v>
      </c>
      <c r="O135" s="109">
        <v>884404</v>
      </c>
      <c r="P135" s="109">
        <v>14</v>
      </c>
      <c r="Q135" s="109">
        <v>51</v>
      </c>
      <c r="R135" s="109">
        <v>1</v>
      </c>
      <c r="S135" s="109">
        <v>1</v>
      </c>
      <c r="T135" s="107">
        <f t="shared" si="10"/>
        <v>631464456</v>
      </c>
      <c r="U135" s="109">
        <v>884404</v>
      </c>
      <c r="V135" s="109">
        <v>14</v>
      </c>
      <c r="W135" s="109">
        <v>51</v>
      </c>
      <c r="X135" s="109">
        <v>1</v>
      </c>
      <c r="Y135" s="109">
        <v>1</v>
      </c>
      <c r="Z135" s="107">
        <f t="shared" si="11"/>
        <v>631464456</v>
      </c>
      <c r="AA135" s="109">
        <v>884404</v>
      </c>
      <c r="AB135" s="109">
        <v>14</v>
      </c>
      <c r="AC135" s="109">
        <v>51</v>
      </c>
      <c r="AD135" s="109">
        <v>1</v>
      </c>
      <c r="AE135" s="109">
        <v>1</v>
      </c>
      <c r="AF135" s="107">
        <f t="shared" si="12"/>
        <v>631464456</v>
      </c>
      <c r="AG135" s="109">
        <v>884404</v>
      </c>
      <c r="AH135" s="109">
        <v>14</v>
      </c>
      <c r="AI135" s="109">
        <v>51</v>
      </c>
      <c r="AJ135" s="109">
        <v>1</v>
      </c>
      <c r="AK135" s="109">
        <v>1</v>
      </c>
      <c r="AL135" s="107">
        <f t="shared" si="13"/>
        <v>631464456</v>
      </c>
    </row>
    <row r="136" spans="1:38" ht="67.5">
      <c r="A136" s="212" t="s">
        <v>144</v>
      </c>
      <c r="B136" s="212" t="s">
        <v>87</v>
      </c>
      <c r="C136" s="141"/>
      <c r="D136" s="222" t="s">
        <v>436</v>
      </c>
      <c r="E136" s="214" t="s">
        <v>444</v>
      </c>
      <c r="F136" s="215" t="s">
        <v>501</v>
      </c>
      <c r="G136" s="217" t="s">
        <v>322</v>
      </c>
      <c r="H136" s="219" t="s">
        <v>556</v>
      </c>
      <c r="I136" s="109">
        <v>553334</v>
      </c>
      <c r="J136" s="109">
        <v>210</v>
      </c>
      <c r="K136" s="109">
        <v>10</v>
      </c>
      <c r="L136" s="109">
        <v>1</v>
      </c>
      <c r="M136" s="109">
        <v>1</v>
      </c>
      <c r="N136" s="107">
        <f t="shared" si="14"/>
        <v>1162001400</v>
      </c>
      <c r="O136" s="109">
        <v>553334</v>
      </c>
      <c r="P136" s="109">
        <v>210</v>
      </c>
      <c r="Q136" s="109">
        <v>10</v>
      </c>
      <c r="R136" s="109">
        <v>1</v>
      </c>
      <c r="S136" s="109">
        <v>1</v>
      </c>
      <c r="T136" s="107">
        <f t="shared" si="10"/>
        <v>1162001400</v>
      </c>
      <c r="U136" s="109">
        <v>553334</v>
      </c>
      <c r="V136" s="109">
        <v>210</v>
      </c>
      <c r="W136" s="109">
        <v>10</v>
      </c>
      <c r="X136" s="109">
        <v>1</v>
      </c>
      <c r="Y136" s="109">
        <v>1</v>
      </c>
      <c r="Z136" s="107">
        <f t="shared" si="11"/>
        <v>1162001400</v>
      </c>
      <c r="AA136" s="109">
        <v>553334</v>
      </c>
      <c r="AB136" s="109">
        <v>210</v>
      </c>
      <c r="AC136" s="109">
        <v>10</v>
      </c>
      <c r="AD136" s="109">
        <v>1</v>
      </c>
      <c r="AE136" s="109">
        <v>1</v>
      </c>
      <c r="AF136" s="107">
        <f t="shared" si="12"/>
        <v>1162001400</v>
      </c>
      <c r="AG136" s="109">
        <v>553334</v>
      </c>
      <c r="AH136" s="109">
        <v>210</v>
      </c>
      <c r="AI136" s="109">
        <v>10</v>
      </c>
      <c r="AJ136" s="109">
        <v>1</v>
      </c>
      <c r="AK136" s="109">
        <v>1</v>
      </c>
      <c r="AL136" s="107">
        <f t="shared" si="13"/>
        <v>1162001400</v>
      </c>
    </row>
    <row r="137" spans="1:38" s="242" customFormat="1" ht="56.25">
      <c r="A137" s="237" t="s">
        <v>144</v>
      </c>
      <c r="B137" s="237" t="s">
        <v>87</v>
      </c>
      <c r="C137" s="238"/>
      <c r="D137" s="222" t="s">
        <v>436</v>
      </c>
      <c r="E137" s="214" t="s">
        <v>445</v>
      </c>
      <c r="F137" s="215" t="s">
        <v>503</v>
      </c>
      <c r="G137" s="239" t="s">
        <v>322</v>
      </c>
      <c r="H137" s="219" t="s">
        <v>556</v>
      </c>
      <c r="I137" s="243">
        <v>608278</v>
      </c>
      <c r="J137" s="240">
        <v>23</v>
      </c>
      <c r="K137" s="240">
        <v>3</v>
      </c>
      <c r="L137" s="240">
        <v>1</v>
      </c>
      <c r="M137" s="240">
        <v>4</v>
      </c>
      <c r="N137" s="241">
        <f t="shared" si="14"/>
        <v>167884728</v>
      </c>
      <c r="O137" s="243">
        <v>608278</v>
      </c>
      <c r="P137" s="240">
        <v>23</v>
      </c>
      <c r="Q137" s="240">
        <v>3</v>
      </c>
      <c r="R137" s="240">
        <v>1</v>
      </c>
      <c r="S137" s="240">
        <v>4</v>
      </c>
      <c r="T137" s="241">
        <f t="shared" si="10"/>
        <v>167884728</v>
      </c>
      <c r="U137" s="243">
        <v>608278</v>
      </c>
      <c r="V137" s="240">
        <v>23</v>
      </c>
      <c r="W137" s="240">
        <v>3</v>
      </c>
      <c r="X137" s="240">
        <v>1</v>
      </c>
      <c r="Y137" s="240">
        <v>4</v>
      </c>
      <c r="Z137" s="241">
        <f t="shared" si="11"/>
        <v>167884728</v>
      </c>
      <c r="AA137" s="243">
        <v>608278</v>
      </c>
      <c r="AB137" s="240">
        <v>23</v>
      </c>
      <c r="AC137" s="240">
        <v>3</v>
      </c>
      <c r="AD137" s="240">
        <v>1</v>
      </c>
      <c r="AE137" s="240">
        <v>4</v>
      </c>
      <c r="AF137" s="241">
        <f t="shared" si="12"/>
        <v>167884728</v>
      </c>
      <c r="AG137" s="243">
        <v>608278</v>
      </c>
      <c r="AH137" s="240">
        <v>23</v>
      </c>
      <c r="AI137" s="240">
        <v>3</v>
      </c>
      <c r="AJ137" s="240">
        <v>1</v>
      </c>
      <c r="AK137" s="240">
        <v>4</v>
      </c>
      <c r="AL137" s="241">
        <f t="shared" si="13"/>
        <v>167884728</v>
      </c>
    </row>
    <row r="138" spans="1:38" s="242" customFormat="1" ht="56.25">
      <c r="A138" s="237" t="s">
        <v>144</v>
      </c>
      <c r="B138" s="237" t="s">
        <v>87</v>
      </c>
      <c r="C138" s="238"/>
      <c r="D138" s="222" t="s">
        <v>436</v>
      </c>
      <c r="E138" s="214" t="s">
        <v>446</v>
      </c>
      <c r="F138" s="215" t="s">
        <v>503</v>
      </c>
      <c r="G138" s="239" t="s">
        <v>322</v>
      </c>
      <c r="H138" s="219" t="s">
        <v>611</v>
      </c>
      <c r="I138" s="232">
        <v>535000</v>
      </c>
      <c r="J138" s="232">
        <v>3</v>
      </c>
      <c r="K138" s="232">
        <v>2</v>
      </c>
      <c r="L138" s="232">
        <v>4</v>
      </c>
      <c r="M138" s="232">
        <v>2</v>
      </c>
      <c r="N138" s="107">
        <f t="shared" si="14"/>
        <v>25680000</v>
      </c>
      <c r="O138" s="232">
        <v>535000</v>
      </c>
      <c r="P138" s="232">
        <v>3</v>
      </c>
      <c r="Q138" s="232">
        <v>2</v>
      </c>
      <c r="R138" s="232">
        <v>4</v>
      </c>
      <c r="S138" s="232">
        <v>2</v>
      </c>
      <c r="T138" s="107">
        <f t="shared" si="10"/>
        <v>25680000</v>
      </c>
      <c r="U138" s="232">
        <v>535000</v>
      </c>
      <c r="V138" s="232">
        <v>3</v>
      </c>
      <c r="W138" s="232">
        <v>2</v>
      </c>
      <c r="X138" s="232">
        <v>4</v>
      </c>
      <c r="Y138" s="232">
        <v>2</v>
      </c>
      <c r="Z138" s="107">
        <f t="shared" si="11"/>
        <v>25680000</v>
      </c>
      <c r="AA138" s="232">
        <v>535000</v>
      </c>
      <c r="AB138" s="232">
        <v>3</v>
      </c>
      <c r="AC138" s="232">
        <v>2</v>
      </c>
      <c r="AD138" s="232">
        <v>4</v>
      </c>
      <c r="AE138" s="232">
        <v>2</v>
      </c>
      <c r="AF138" s="107">
        <f t="shared" si="12"/>
        <v>25680000</v>
      </c>
      <c r="AG138" s="232">
        <v>535000</v>
      </c>
      <c r="AH138" s="232">
        <v>3</v>
      </c>
      <c r="AI138" s="232">
        <v>2</v>
      </c>
      <c r="AJ138" s="232">
        <v>4</v>
      </c>
      <c r="AK138" s="232">
        <v>2</v>
      </c>
      <c r="AL138" s="107">
        <f t="shared" si="13"/>
        <v>25680000</v>
      </c>
    </row>
    <row r="139" spans="1:38" s="242" customFormat="1" ht="56.25">
      <c r="A139" s="237" t="s">
        <v>144</v>
      </c>
      <c r="B139" s="237" t="s">
        <v>87</v>
      </c>
      <c r="C139" s="238"/>
      <c r="D139" s="222" t="s">
        <v>436</v>
      </c>
      <c r="E139" s="214" t="s">
        <v>447</v>
      </c>
      <c r="F139" s="215" t="s">
        <v>503</v>
      </c>
      <c r="G139" s="239" t="s">
        <v>322</v>
      </c>
      <c r="H139" s="219" t="s">
        <v>556</v>
      </c>
      <c r="I139" s="231">
        <v>518478</v>
      </c>
      <c r="J139" s="232">
        <v>23</v>
      </c>
      <c r="K139" s="232">
        <v>5</v>
      </c>
      <c r="L139" s="232">
        <v>1</v>
      </c>
      <c r="M139" s="232">
        <v>4</v>
      </c>
      <c r="N139" s="107">
        <f t="shared" si="14"/>
        <v>238499880</v>
      </c>
      <c r="O139" s="231">
        <v>518478</v>
      </c>
      <c r="P139" s="232">
        <v>23</v>
      </c>
      <c r="Q139" s="232">
        <v>5</v>
      </c>
      <c r="R139" s="232">
        <v>1</v>
      </c>
      <c r="S139" s="232">
        <v>4</v>
      </c>
      <c r="T139" s="107">
        <f t="shared" si="10"/>
        <v>238499880</v>
      </c>
      <c r="U139" s="231">
        <v>518478</v>
      </c>
      <c r="V139" s="232">
        <v>23</v>
      </c>
      <c r="W139" s="232">
        <v>5</v>
      </c>
      <c r="X139" s="232">
        <v>1</v>
      </c>
      <c r="Y139" s="232">
        <v>4</v>
      </c>
      <c r="Z139" s="107">
        <f t="shared" si="11"/>
        <v>238499880</v>
      </c>
      <c r="AA139" s="231">
        <v>518478</v>
      </c>
      <c r="AB139" s="232">
        <v>23</v>
      </c>
      <c r="AC139" s="232">
        <v>5</v>
      </c>
      <c r="AD139" s="232">
        <v>1</v>
      </c>
      <c r="AE139" s="232">
        <v>4</v>
      </c>
      <c r="AF139" s="107">
        <f t="shared" si="12"/>
        <v>238499880</v>
      </c>
      <c r="AG139" s="231">
        <v>518478</v>
      </c>
      <c r="AH139" s="232">
        <v>23</v>
      </c>
      <c r="AI139" s="232">
        <v>5</v>
      </c>
      <c r="AJ139" s="232">
        <v>1</v>
      </c>
      <c r="AK139" s="232">
        <v>4</v>
      </c>
      <c r="AL139" s="107">
        <f t="shared" si="13"/>
        <v>238499880</v>
      </c>
    </row>
    <row r="140" spans="1:38" s="242" customFormat="1" ht="56.25">
      <c r="A140" s="237" t="s">
        <v>144</v>
      </c>
      <c r="B140" s="237" t="s">
        <v>87</v>
      </c>
      <c r="C140" s="238"/>
      <c r="D140" s="222" t="s">
        <v>436</v>
      </c>
      <c r="E140" s="214" t="s">
        <v>448</v>
      </c>
      <c r="F140" s="215" t="s">
        <v>503</v>
      </c>
      <c r="G140" s="239" t="s">
        <v>322</v>
      </c>
      <c r="H140" s="219" t="s">
        <v>556</v>
      </c>
      <c r="I140" s="232">
        <v>541211</v>
      </c>
      <c r="J140" s="232">
        <v>15</v>
      </c>
      <c r="K140" s="232">
        <v>15</v>
      </c>
      <c r="L140" s="232">
        <v>1</v>
      </c>
      <c r="M140" s="232">
        <v>4</v>
      </c>
      <c r="N140" s="107">
        <f t="shared" si="14"/>
        <v>487089900</v>
      </c>
      <c r="O140" s="232">
        <v>541211</v>
      </c>
      <c r="P140" s="232">
        <v>15</v>
      </c>
      <c r="Q140" s="232">
        <v>15</v>
      </c>
      <c r="R140" s="232">
        <v>1</v>
      </c>
      <c r="S140" s="232">
        <v>4</v>
      </c>
      <c r="T140" s="107">
        <f t="shared" si="10"/>
        <v>487089900</v>
      </c>
      <c r="U140" s="232">
        <v>541211</v>
      </c>
      <c r="V140" s="232">
        <v>15</v>
      </c>
      <c r="W140" s="232">
        <v>15</v>
      </c>
      <c r="X140" s="232">
        <v>1</v>
      </c>
      <c r="Y140" s="232">
        <v>4</v>
      </c>
      <c r="Z140" s="107">
        <f t="shared" si="11"/>
        <v>487089900</v>
      </c>
      <c r="AA140" s="232">
        <v>541211</v>
      </c>
      <c r="AB140" s="232">
        <v>15</v>
      </c>
      <c r="AC140" s="232">
        <v>15</v>
      </c>
      <c r="AD140" s="232">
        <v>1</v>
      </c>
      <c r="AE140" s="232">
        <v>4</v>
      </c>
      <c r="AF140" s="107">
        <f t="shared" si="12"/>
        <v>487089900</v>
      </c>
      <c r="AG140" s="232">
        <v>541211</v>
      </c>
      <c r="AH140" s="232">
        <v>15</v>
      </c>
      <c r="AI140" s="232">
        <v>15</v>
      </c>
      <c r="AJ140" s="232">
        <v>1</v>
      </c>
      <c r="AK140" s="232">
        <v>4</v>
      </c>
      <c r="AL140" s="107">
        <f t="shared" si="13"/>
        <v>487089900</v>
      </c>
    </row>
    <row r="141" spans="1:38" s="242" customFormat="1" ht="56.25">
      <c r="A141" s="237" t="s">
        <v>144</v>
      </c>
      <c r="B141" s="237" t="s">
        <v>87</v>
      </c>
      <c r="C141" s="238"/>
      <c r="D141" s="222" t="s">
        <v>436</v>
      </c>
      <c r="E141" s="214" t="s">
        <v>449</v>
      </c>
      <c r="F141" s="215" t="s">
        <v>504</v>
      </c>
      <c r="G141" s="239" t="s">
        <v>322</v>
      </c>
      <c r="H141" s="219" t="s">
        <v>556</v>
      </c>
      <c r="I141" s="231">
        <v>513583</v>
      </c>
      <c r="J141" s="232">
        <v>40</v>
      </c>
      <c r="K141" s="232">
        <v>3</v>
      </c>
      <c r="L141" s="232">
        <v>1</v>
      </c>
      <c r="M141" s="232">
        <v>4</v>
      </c>
      <c r="N141" s="107">
        <f t="shared" si="14"/>
        <v>246519840</v>
      </c>
      <c r="O141" s="231">
        <v>513583</v>
      </c>
      <c r="P141" s="232">
        <v>40</v>
      </c>
      <c r="Q141" s="232">
        <v>3</v>
      </c>
      <c r="R141" s="232">
        <v>1</v>
      </c>
      <c r="S141" s="232">
        <v>4</v>
      </c>
      <c r="T141" s="107">
        <f t="shared" si="10"/>
        <v>246519840</v>
      </c>
      <c r="U141" s="231">
        <v>513583</v>
      </c>
      <c r="V141" s="232">
        <v>40</v>
      </c>
      <c r="W141" s="232">
        <v>3</v>
      </c>
      <c r="X141" s="232">
        <v>1</v>
      </c>
      <c r="Y141" s="232">
        <v>4</v>
      </c>
      <c r="Z141" s="107">
        <f t="shared" si="11"/>
        <v>246519840</v>
      </c>
      <c r="AA141" s="231">
        <v>513583</v>
      </c>
      <c r="AB141" s="232">
        <v>40</v>
      </c>
      <c r="AC141" s="232">
        <v>3</v>
      </c>
      <c r="AD141" s="232">
        <v>1</v>
      </c>
      <c r="AE141" s="232">
        <v>4</v>
      </c>
      <c r="AF141" s="107">
        <f t="shared" si="12"/>
        <v>246519840</v>
      </c>
      <c r="AG141" s="231">
        <v>513583</v>
      </c>
      <c r="AH141" s="232">
        <v>40</v>
      </c>
      <c r="AI141" s="232">
        <v>3</v>
      </c>
      <c r="AJ141" s="232">
        <v>1</v>
      </c>
      <c r="AK141" s="232">
        <v>4</v>
      </c>
      <c r="AL141" s="107">
        <f t="shared" si="13"/>
        <v>246519840</v>
      </c>
    </row>
    <row r="142" spans="1:38" s="242" customFormat="1" ht="56.25">
      <c r="A142" s="237" t="s">
        <v>144</v>
      </c>
      <c r="B142" s="237" t="s">
        <v>87</v>
      </c>
      <c r="C142" s="238"/>
      <c r="D142" s="222" t="s">
        <v>436</v>
      </c>
      <c r="E142" s="214" t="s">
        <v>450</v>
      </c>
      <c r="F142" s="215" t="s">
        <v>503</v>
      </c>
      <c r="G142" s="239" t="s">
        <v>322</v>
      </c>
      <c r="H142" s="219" t="s">
        <v>556</v>
      </c>
      <c r="I142" s="232">
        <v>619560</v>
      </c>
      <c r="J142" s="232">
        <v>6</v>
      </c>
      <c r="K142" s="232">
        <v>15</v>
      </c>
      <c r="L142" s="232">
        <v>1</v>
      </c>
      <c r="M142" s="232">
        <v>3</v>
      </c>
      <c r="N142" s="107">
        <f t="shared" si="14"/>
        <v>167281200</v>
      </c>
      <c r="O142" s="232">
        <v>619560</v>
      </c>
      <c r="P142" s="232">
        <v>6</v>
      </c>
      <c r="Q142" s="232">
        <v>15</v>
      </c>
      <c r="R142" s="232">
        <v>1</v>
      </c>
      <c r="S142" s="232">
        <v>3</v>
      </c>
      <c r="T142" s="107">
        <f t="shared" si="10"/>
        <v>167281200</v>
      </c>
      <c r="U142" s="232">
        <v>619560</v>
      </c>
      <c r="V142" s="232">
        <v>6</v>
      </c>
      <c r="W142" s="232">
        <v>15</v>
      </c>
      <c r="X142" s="232">
        <v>1</v>
      </c>
      <c r="Y142" s="232">
        <v>3</v>
      </c>
      <c r="Z142" s="107">
        <f t="shared" si="11"/>
        <v>167281200</v>
      </c>
      <c r="AA142" s="232">
        <v>619560</v>
      </c>
      <c r="AB142" s="232">
        <v>6</v>
      </c>
      <c r="AC142" s="232">
        <v>15</v>
      </c>
      <c r="AD142" s="232">
        <v>1</v>
      </c>
      <c r="AE142" s="232">
        <v>3</v>
      </c>
      <c r="AF142" s="107">
        <f t="shared" si="12"/>
        <v>167281200</v>
      </c>
      <c r="AG142" s="232">
        <v>619560</v>
      </c>
      <c r="AH142" s="232">
        <v>6</v>
      </c>
      <c r="AI142" s="232">
        <v>15</v>
      </c>
      <c r="AJ142" s="232">
        <v>1</v>
      </c>
      <c r="AK142" s="232">
        <v>3</v>
      </c>
      <c r="AL142" s="107">
        <f t="shared" si="13"/>
        <v>167281200</v>
      </c>
    </row>
    <row r="143" spans="1:38" ht="56.25">
      <c r="A143" s="212" t="s">
        <v>144</v>
      </c>
      <c r="B143" s="212" t="s">
        <v>87</v>
      </c>
      <c r="C143" s="141"/>
      <c r="D143" s="222" t="s">
        <v>436</v>
      </c>
      <c r="E143" s="214" t="s">
        <v>451</v>
      </c>
      <c r="F143" s="215" t="s">
        <v>505</v>
      </c>
      <c r="G143" s="217" t="s">
        <v>322</v>
      </c>
      <c r="H143" s="219" t="s">
        <v>556</v>
      </c>
      <c r="I143" s="109">
        <v>839231</v>
      </c>
      <c r="J143" s="109">
        <v>13</v>
      </c>
      <c r="K143" s="109">
        <v>3</v>
      </c>
      <c r="L143" s="109">
        <v>1</v>
      </c>
      <c r="M143" s="109">
        <v>1</v>
      </c>
      <c r="N143" s="107">
        <f t="shared" si="14"/>
        <v>32730009</v>
      </c>
      <c r="O143" s="109"/>
      <c r="P143" s="109"/>
      <c r="Q143" s="109"/>
      <c r="R143" s="109"/>
      <c r="S143" s="109"/>
      <c r="T143" s="107">
        <f t="shared" si="10"/>
        <v>0</v>
      </c>
      <c r="U143" s="109"/>
      <c r="V143" s="109"/>
      <c r="W143" s="109"/>
      <c r="X143" s="109"/>
      <c r="Y143" s="109"/>
      <c r="Z143" s="107">
        <f t="shared" si="11"/>
        <v>0</v>
      </c>
      <c r="AA143" s="109"/>
      <c r="AB143" s="109"/>
      <c r="AC143" s="109"/>
      <c r="AD143" s="109"/>
      <c r="AE143" s="109"/>
      <c r="AF143" s="107">
        <f t="shared" si="12"/>
        <v>0</v>
      </c>
      <c r="AG143" s="109"/>
      <c r="AH143" s="109"/>
      <c r="AI143" s="109"/>
      <c r="AJ143" s="109"/>
      <c r="AK143" s="109"/>
      <c r="AL143" s="107">
        <f t="shared" si="13"/>
        <v>0</v>
      </c>
    </row>
    <row r="144" spans="1:38" ht="56.25">
      <c r="A144" s="212" t="s">
        <v>144</v>
      </c>
      <c r="B144" s="212" t="s">
        <v>87</v>
      </c>
      <c r="C144" s="141"/>
      <c r="D144" s="222" t="s">
        <v>436</v>
      </c>
      <c r="E144" s="214" t="s">
        <v>452</v>
      </c>
      <c r="F144" s="215" t="s">
        <v>505</v>
      </c>
      <c r="G144" s="217" t="s">
        <v>322</v>
      </c>
      <c r="H144" s="219" t="s">
        <v>556</v>
      </c>
      <c r="I144" s="109">
        <v>666000</v>
      </c>
      <c r="J144" s="109">
        <v>11</v>
      </c>
      <c r="K144" s="109">
        <v>15</v>
      </c>
      <c r="L144" s="109">
        <v>1</v>
      </c>
      <c r="M144" s="109">
        <v>1</v>
      </c>
      <c r="N144" s="107">
        <f t="shared" si="14"/>
        <v>109890000</v>
      </c>
      <c r="O144" s="109"/>
      <c r="P144" s="109"/>
      <c r="Q144" s="109"/>
      <c r="R144" s="109"/>
      <c r="S144" s="109"/>
      <c r="T144" s="107">
        <f t="shared" ref="T144:T171" si="20">PRODUCT(O144:S144)</f>
        <v>0</v>
      </c>
      <c r="U144" s="109"/>
      <c r="V144" s="109"/>
      <c r="W144" s="109"/>
      <c r="X144" s="109"/>
      <c r="Y144" s="109"/>
      <c r="Z144" s="107">
        <f t="shared" ref="Z144:Z171" si="21">PRODUCT(U144:Y144)</f>
        <v>0</v>
      </c>
      <c r="AA144" s="109"/>
      <c r="AB144" s="109"/>
      <c r="AC144" s="109"/>
      <c r="AD144" s="109"/>
      <c r="AE144" s="109"/>
      <c r="AF144" s="107">
        <f t="shared" ref="AF144:AF171" si="22">PRODUCT(AA144:AE144)</f>
        <v>0</v>
      </c>
      <c r="AG144" s="109"/>
      <c r="AH144" s="109"/>
      <c r="AI144" s="109"/>
      <c r="AJ144" s="109"/>
      <c r="AK144" s="109"/>
      <c r="AL144" s="107">
        <f t="shared" ref="AL144:AL171" si="23">PRODUCT(AG144:AK144)</f>
        <v>0</v>
      </c>
    </row>
    <row r="145" spans="1:38" ht="56.25">
      <c r="A145" s="212" t="s">
        <v>144</v>
      </c>
      <c r="B145" s="212" t="s">
        <v>87</v>
      </c>
      <c r="C145" s="141"/>
      <c r="D145" s="222" t="s">
        <v>436</v>
      </c>
      <c r="E145" s="214" t="s">
        <v>585</v>
      </c>
      <c r="F145" s="215" t="s">
        <v>505</v>
      </c>
      <c r="G145" s="217" t="s">
        <v>322</v>
      </c>
      <c r="H145" s="219" t="s">
        <v>556</v>
      </c>
      <c r="I145" s="109">
        <v>0</v>
      </c>
      <c r="J145" s="109">
        <v>0</v>
      </c>
      <c r="K145" s="109">
        <v>0</v>
      </c>
      <c r="L145" s="109">
        <v>0</v>
      </c>
      <c r="M145" s="109">
        <v>0</v>
      </c>
      <c r="N145" s="107">
        <f t="shared" si="14"/>
        <v>0</v>
      </c>
      <c r="O145" s="109">
        <v>657600</v>
      </c>
      <c r="P145" s="109">
        <v>15</v>
      </c>
      <c r="Q145" s="109">
        <v>15</v>
      </c>
      <c r="R145" s="109">
        <v>1</v>
      </c>
      <c r="S145" s="109">
        <v>1</v>
      </c>
      <c r="T145" s="107">
        <f t="shared" si="20"/>
        <v>147960000</v>
      </c>
      <c r="U145" s="109"/>
      <c r="V145" s="109"/>
      <c r="W145" s="109"/>
      <c r="X145" s="109"/>
      <c r="Y145" s="109"/>
      <c r="Z145" s="107">
        <f t="shared" si="21"/>
        <v>0</v>
      </c>
      <c r="AA145" s="109"/>
      <c r="AB145" s="109"/>
      <c r="AC145" s="109"/>
      <c r="AD145" s="109"/>
      <c r="AE145" s="109"/>
      <c r="AF145" s="107">
        <f t="shared" si="22"/>
        <v>0</v>
      </c>
      <c r="AG145" s="109"/>
      <c r="AH145" s="109"/>
      <c r="AI145" s="109"/>
      <c r="AJ145" s="109"/>
      <c r="AK145" s="109"/>
      <c r="AL145" s="107">
        <f t="shared" si="23"/>
        <v>0</v>
      </c>
    </row>
    <row r="146" spans="1:38" ht="67.5">
      <c r="A146" s="212" t="s">
        <v>144</v>
      </c>
      <c r="B146" s="212" t="s">
        <v>87</v>
      </c>
      <c r="C146" s="141"/>
      <c r="D146" s="222" t="s">
        <v>436</v>
      </c>
      <c r="E146" s="214" t="s">
        <v>586</v>
      </c>
      <c r="F146" s="215" t="s">
        <v>505</v>
      </c>
      <c r="G146" s="217" t="s">
        <v>322</v>
      </c>
      <c r="H146" s="219" t="s">
        <v>556</v>
      </c>
      <c r="I146" s="109">
        <v>0</v>
      </c>
      <c r="J146" s="109">
        <v>0</v>
      </c>
      <c r="K146" s="109">
        <v>0</v>
      </c>
      <c r="L146" s="109">
        <v>0</v>
      </c>
      <c r="M146" s="109">
        <v>0</v>
      </c>
      <c r="N146" s="107">
        <f t="shared" si="14"/>
        <v>0</v>
      </c>
      <c r="O146" s="109">
        <v>0</v>
      </c>
      <c r="P146" s="109">
        <v>0</v>
      </c>
      <c r="Q146" s="109">
        <v>0</v>
      </c>
      <c r="R146" s="109">
        <v>0</v>
      </c>
      <c r="S146" s="109">
        <v>0</v>
      </c>
      <c r="T146" s="107">
        <f t="shared" si="20"/>
        <v>0</v>
      </c>
      <c r="U146" s="109">
        <v>681867</v>
      </c>
      <c r="V146" s="109">
        <v>26</v>
      </c>
      <c r="W146" s="109">
        <v>15</v>
      </c>
      <c r="X146" s="109">
        <v>1</v>
      </c>
      <c r="Y146" s="109">
        <v>1</v>
      </c>
      <c r="Z146" s="107">
        <f t="shared" si="21"/>
        <v>265928130</v>
      </c>
      <c r="AA146" s="109"/>
      <c r="AB146" s="109"/>
      <c r="AC146" s="109"/>
      <c r="AD146" s="109"/>
      <c r="AE146" s="109"/>
      <c r="AF146" s="107">
        <f t="shared" si="22"/>
        <v>0</v>
      </c>
      <c r="AG146" s="109"/>
      <c r="AH146" s="109"/>
      <c r="AI146" s="109"/>
      <c r="AJ146" s="109"/>
      <c r="AK146" s="109"/>
      <c r="AL146" s="107">
        <f t="shared" si="23"/>
        <v>0</v>
      </c>
    </row>
    <row r="147" spans="1:38" ht="56.25">
      <c r="A147" s="212" t="s">
        <v>144</v>
      </c>
      <c r="B147" s="212" t="s">
        <v>87</v>
      </c>
      <c r="C147" s="141"/>
      <c r="D147" s="222" t="s">
        <v>436</v>
      </c>
      <c r="E147" s="214" t="s">
        <v>453</v>
      </c>
      <c r="F147" s="215" t="s">
        <v>505</v>
      </c>
      <c r="G147" s="217" t="s">
        <v>322</v>
      </c>
      <c r="H147" s="219" t="s">
        <v>556</v>
      </c>
      <c r="I147" s="109">
        <v>0</v>
      </c>
      <c r="J147" s="109">
        <v>0</v>
      </c>
      <c r="K147" s="109">
        <v>0</v>
      </c>
      <c r="L147" s="109">
        <v>0</v>
      </c>
      <c r="M147" s="109">
        <v>0</v>
      </c>
      <c r="N147" s="107">
        <f t="shared" si="14"/>
        <v>0</v>
      </c>
      <c r="O147" s="109">
        <v>666000</v>
      </c>
      <c r="P147" s="109">
        <v>11</v>
      </c>
      <c r="Q147" s="109">
        <v>15</v>
      </c>
      <c r="R147" s="109">
        <v>1</v>
      </c>
      <c r="S147" s="109">
        <v>1</v>
      </c>
      <c r="T147" s="107">
        <f t="shared" si="20"/>
        <v>109890000</v>
      </c>
      <c r="U147" s="109"/>
      <c r="V147" s="109"/>
      <c r="W147" s="109"/>
      <c r="X147" s="109"/>
      <c r="Y147" s="109"/>
      <c r="Z147" s="107">
        <f t="shared" si="21"/>
        <v>0</v>
      </c>
      <c r="AA147" s="109"/>
      <c r="AB147" s="109"/>
      <c r="AC147" s="109"/>
      <c r="AD147" s="109"/>
      <c r="AE147" s="109"/>
      <c r="AF147" s="107">
        <f t="shared" si="22"/>
        <v>0</v>
      </c>
      <c r="AG147" s="109"/>
      <c r="AH147" s="109"/>
      <c r="AI147" s="109"/>
      <c r="AJ147" s="109"/>
      <c r="AK147" s="109"/>
      <c r="AL147" s="107">
        <f t="shared" si="23"/>
        <v>0</v>
      </c>
    </row>
    <row r="148" spans="1:38" ht="56.25">
      <c r="A148" s="212" t="s">
        <v>144</v>
      </c>
      <c r="B148" s="212" t="s">
        <v>87</v>
      </c>
      <c r="C148" s="141"/>
      <c r="D148" s="222" t="s">
        <v>436</v>
      </c>
      <c r="E148" s="214" t="s">
        <v>587</v>
      </c>
      <c r="F148" s="215" t="s">
        <v>505</v>
      </c>
      <c r="G148" s="217" t="s">
        <v>322</v>
      </c>
      <c r="H148" s="219" t="s">
        <v>556</v>
      </c>
      <c r="I148" s="109">
        <v>0</v>
      </c>
      <c r="J148" s="109">
        <v>0</v>
      </c>
      <c r="K148" s="109">
        <v>0</v>
      </c>
      <c r="L148" s="109">
        <v>0</v>
      </c>
      <c r="M148" s="109">
        <v>0</v>
      </c>
      <c r="N148" s="107">
        <f t="shared" si="14"/>
        <v>0</v>
      </c>
      <c r="O148" s="109">
        <v>0</v>
      </c>
      <c r="P148" s="109">
        <v>0</v>
      </c>
      <c r="Q148" s="109">
        <v>0</v>
      </c>
      <c r="R148" s="109">
        <v>0</v>
      </c>
      <c r="S148" s="109">
        <v>0</v>
      </c>
      <c r="T148" s="107">
        <f t="shared" si="20"/>
        <v>0</v>
      </c>
      <c r="U148" s="109">
        <v>688848</v>
      </c>
      <c r="V148" s="109">
        <v>22</v>
      </c>
      <c r="W148" s="109">
        <v>15</v>
      </c>
      <c r="X148" s="109">
        <v>1</v>
      </c>
      <c r="Y148" s="109">
        <v>1</v>
      </c>
      <c r="Z148" s="107">
        <f t="shared" si="21"/>
        <v>227319840</v>
      </c>
      <c r="AA148" s="109"/>
      <c r="AB148" s="109"/>
      <c r="AC148" s="109"/>
      <c r="AD148" s="109"/>
      <c r="AE148" s="109"/>
      <c r="AF148" s="107">
        <f t="shared" si="22"/>
        <v>0</v>
      </c>
      <c r="AG148" s="109"/>
      <c r="AH148" s="109"/>
      <c r="AI148" s="109"/>
      <c r="AJ148" s="109"/>
      <c r="AK148" s="109"/>
      <c r="AL148" s="107">
        <f t="shared" si="23"/>
        <v>0</v>
      </c>
    </row>
    <row r="149" spans="1:38" ht="56.25">
      <c r="A149" s="212" t="s">
        <v>144</v>
      </c>
      <c r="B149" s="212" t="s">
        <v>87</v>
      </c>
      <c r="C149" s="141"/>
      <c r="D149" s="222" t="s">
        <v>436</v>
      </c>
      <c r="E149" s="214" t="s">
        <v>588</v>
      </c>
      <c r="F149" s="215" t="s">
        <v>505</v>
      </c>
      <c r="G149" s="217" t="s">
        <v>322</v>
      </c>
      <c r="H149" s="219" t="s">
        <v>556</v>
      </c>
      <c r="I149" s="109">
        <v>0</v>
      </c>
      <c r="J149" s="109">
        <v>0</v>
      </c>
      <c r="K149" s="109">
        <v>0</v>
      </c>
      <c r="L149" s="109">
        <v>0</v>
      </c>
      <c r="M149" s="109">
        <v>0</v>
      </c>
      <c r="N149" s="107">
        <f t="shared" si="14"/>
        <v>0</v>
      </c>
      <c r="O149" s="109">
        <v>0</v>
      </c>
      <c r="P149" s="109">
        <v>0</v>
      </c>
      <c r="Q149" s="109">
        <v>0</v>
      </c>
      <c r="R149" s="109">
        <v>0</v>
      </c>
      <c r="S149" s="109">
        <v>0</v>
      </c>
      <c r="T149" s="107">
        <f t="shared" si="20"/>
        <v>0</v>
      </c>
      <c r="U149" s="109">
        <v>0</v>
      </c>
      <c r="V149" s="109">
        <v>0</v>
      </c>
      <c r="W149" s="109">
        <v>0</v>
      </c>
      <c r="X149" s="109">
        <v>0</v>
      </c>
      <c r="Y149" s="109">
        <v>0</v>
      </c>
      <c r="Z149" s="107">
        <f t="shared" si="21"/>
        <v>0</v>
      </c>
      <c r="AA149" s="109">
        <v>689075</v>
      </c>
      <c r="AB149" s="109">
        <v>18</v>
      </c>
      <c r="AC149" s="109">
        <v>15</v>
      </c>
      <c r="AD149" s="109">
        <v>1</v>
      </c>
      <c r="AE149" s="109">
        <v>1</v>
      </c>
      <c r="AF149" s="107">
        <f t="shared" si="22"/>
        <v>186050250</v>
      </c>
      <c r="AG149" s="109"/>
      <c r="AH149" s="109"/>
      <c r="AI149" s="109"/>
      <c r="AJ149" s="109"/>
      <c r="AK149" s="109"/>
      <c r="AL149" s="107">
        <f t="shared" si="23"/>
        <v>0</v>
      </c>
    </row>
    <row r="150" spans="1:38" s="242" customFormat="1" ht="56.25">
      <c r="A150" s="237" t="s">
        <v>144</v>
      </c>
      <c r="B150" s="237" t="s">
        <v>87</v>
      </c>
      <c r="C150" s="238"/>
      <c r="D150" s="222" t="s">
        <v>436</v>
      </c>
      <c r="E150" s="214" t="s">
        <v>454</v>
      </c>
      <c r="F150" s="215" t="s">
        <v>506</v>
      </c>
      <c r="G150" s="239" t="s">
        <v>322</v>
      </c>
      <c r="H150" s="219" t="s">
        <v>556</v>
      </c>
      <c r="I150" s="243">
        <v>518480</v>
      </c>
      <c r="J150" s="240">
        <v>23</v>
      </c>
      <c r="K150" s="240">
        <v>5</v>
      </c>
      <c r="L150" s="240">
        <v>1</v>
      </c>
      <c r="M150" s="240">
        <v>4</v>
      </c>
      <c r="N150" s="241">
        <f t="shared" si="14"/>
        <v>238500800</v>
      </c>
      <c r="O150" s="243">
        <v>518480</v>
      </c>
      <c r="P150" s="240">
        <v>23</v>
      </c>
      <c r="Q150" s="240">
        <v>5</v>
      </c>
      <c r="R150" s="240">
        <v>1</v>
      </c>
      <c r="S150" s="240">
        <v>4</v>
      </c>
      <c r="T150" s="241">
        <f t="shared" si="20"/>
        <v>238500800</v>
      </c>
      <c r="U150" s="243">
        <v>518480</v>
      </c>
      <c r="V150" s="240">
        <v>23</v>
      </c>
      <c r="W150" s="240">
        <v>5</v>
      </c>
      <c r="X150" s="240">
        <v>1</v>
      </c>
      <c r="Y150" s="240">
        <v>4</v>
      </c>
      <c r="Z150" s="241">
        <f t="shared" si="21"/>
        <v>238500800</v>
      </c>
      <c r="AA150" s="243">
        <v>518480</v>
      </c>
      <c r="AB150" s="240">
        <v>23</v>
      </c>
      <c r="AC150" s="240">
        <v>5</v>
      </c>
      <c r="AD150" s="240">
        <v>1</v>
      </c>
      <c r="AE150" s="240">
        <v>4</v>
      </c>
      <c r="AF150" s="241">
        <f t="shared" si="22"/>
        <v>238500800</v>
      </c>
      <c r="AG150" s="243">
        <v>518480</v>
      </c>
      <c r="AH150" s="240">
        <v>23</v>
      </c>
      <c r="AI150" s="240">
        <v>5</v>
      </c>
      <c r="AJ150" s="240">
        <v>1</v>
      </c>
      <c r="AK150" s="240">
        <v>4</v>
      </c>
      <c r="AL150" s="241">
        <f t="shared" si="23"/>
        <v>238500800</v>
      </c>
    </row>
    <row r="151" spans="1:38" ht="56.25">
      <c r="A151" s="212" t="s">
        <v>144</v>
      </c>
      <c r="B151" s="212" t="s">
        <v>87</v>
      </c>
      <c r="C151" s="141"/>
      <c r="D151" s="222" t="s">
        <v>436</v>
      </c>
      <c r="E151" s="214" t="s">
        <v>455</v>
      </c>
      <c r="F151" s="215" t="s">
        <v>482</v>
      </c>
      <c r="G151" s="217" t="s">
        <v>322</v>
      </c>
      <c r="H151" s="219" t="s">
        <v>556</v>
      </c>
      <c r="I151" s="218">
        <v>718457</v>
      </c>
      <c r="J151" s="218">
        <v>27</v>
      </c>
      <c r="K151" s="218">
        <v>3</v>
      </c>
      <c r="L151" s="218">
        <v>1</v>
      </c>
      <c r="M151" s="218">
        <v>1</v>
      </c>
      <c r="N151" s="107">
        <f t="shared" si="14"/>
        <v>58195017</v>
      </c>
      <c r="O151" s="218">
        <v>718457</v>
      </c>
      <c r="P151" s="218">
        <v>27</v>
      </c>
      <c r="Q151" s="218">
        <v>3</v>
      </c>
      <c r="R151" s="218">
        <v>1</v>
      </c>
      <c r="S151" s="218">
        <v>1</v>
      </c>
      <c r="T151" s="107">
        <f t="shared" si="20"/>
        <v>58195017</v>
      </c>
      <c r="U151" s="218">
        <v>718457</v>
      </c>
      <c r="V151" s="218">
        <v>27</v>
      </c>
      <c r="W151" s="218">
        <v>3</v>
      </c>
      <c r="X151" s="218">
        <v>1</v>
      </c>
      <c r="Y151" s="218">
        <v>1</v>
      </c>
      <c r="Z151" s="107">
        <f t="shared" si="21"/>
        <v>58195017</v>
      </c>
      <c r="AA151" s="218">
        <v>718457</v>
      </c>
      <c r="AB151" s="218">
        <v>27</v>
      </c>
      <c r="AC151" s="218">
        <v>3</v>
      </c>
      <c r="AD151" s="218">
        <v>1</v>
      </c>
      <c r="AE151" s="218">
        <v>1</v>
      </c>
      <c r="AF151" s="107">
        <f t="shared" si="22"/>
        <v>58195017</v>
      </c>
      <c r="AG151" s="218">
        <v>718457</v>
      </c>
      <c r="AH151" s="218">
        <v>27</v>
      </c>
      <c r="AI151" s="218">
        <v>3</v>
      </c>
      <c r="AJ151" s="218">
        <v>1</v>
      </c>
      <c r="AK151" s="218">
        <v>1</v>
      </c>
      <c r="AL151" s="107">
        <f t="shared" si="23"/>
        <v>58195017</v>
      </c>
    </row>
    <row r="152" spans="1:38" ht="56.25">
      <c r="A152" s="212" t="s">
        <v>144</v>
      </c>
      <c r="B152" s="212" t="s">
        <v>87</v>
      </c>
      <c r="C152" s="141"/>
      <c r="D152" s="222" t="s">
        <v>456</v>
      </c>
      <c r="E152" s="214" t="s">
        <v>457</v>
      </c>
      <c r="F152" s="215" t="s">
        <v>507</v>
      </c>
      <c r="G152" s="217" t="s">
        <v>322</v>
      </c>
      <c r="H152" s="219" t="s">
        <v>556</v>
      </c>
      <c r="I152" s="232">
        <v>634286</v>
      </c>
      <c r="J152" s="232">
        <v>4</v>
      </c>
      <c r="K152" s="232">
        <v>14</v>
      </c>
      <c r="L152" s="232">
        <v>1</v>
      </c>
      <c r="M152" s="232">
        <v>4</v>
      </c>
      <c r="N152" s="107">
        <f t="shared" si="14"/>
        <v>142080064</v>
      </c>
      <c r="O152" s="232">
        <v>634286</v>
      </c>
      <c r="P152" s="232">
        <v>4</v>
      </c>
      <c r="Q152" s="232">
        <v>14</v>
      </c>
      <c r="R152" s="232">
        <v>1</v>
      </c>
      <c r="S152" s="232">
        <v>4</v>
      </c>
      <c r="T152" s="107">
        <f t="shared" si="20"/>
        <v>142080064</v>
      </c>
      <c r="U152" s="232">
        <v>634286</v>
      </c>
      <c r="V152" s="232">
        <v>4</v>
      </c>
      <c r="W152" s="232">
        <v>14</v>
      </c>
      <c r="X152" s="232">
        <v>1</v>
      </c>
      <c r="Y152" s="232">
        <v>4</v>
      </c>
      <c r="Z152" s="107">
        <f t="shared" si="21"/>
        <v>142080064</v>
      </c>
      <c r="AA152" s="232">
        <v>634286</v>
      </c>
      <c r="AB152" s="232">
        <v>4</v>
      </c>
      <c r="AC152" s="232">
        <v>14</v>
      </c>
      <c r="AD152" s="232">
        <v>1</v>
      </c>
      <c r="AE152" s="232">
        <v>4</v>
      </c>
      <c r="AF152" s="107">
        <f t="shared" si="22"/>
        <v>142080064</v>
      </c>
      <c r="AG152" s="232">
        <v>634286</v>
      </c>
      <c r="AH152" s="232">
        <v>4</v>
      </c>
      <c r="AI152" s="232">
        <v>14</v>
      </c>
      <c r="AJ152" s="232">
        <v>1</v>
      </c>
      <c r="AK152" s="232">
        <v>4</v>
      </c>
      <c r="AL152" s="107">
        <f t="shared" si="23"/>
        <v>142080064</v>
      </c>
    </row>
    <row r="153" spans="1:38" ht="45">
      <c r="A153" s="212" t="s">
        <v>144</v>
      </c>
      <c r="B153" s="212" t="s">
        <v>87</v>
      </c>
      <c r="C153" s="141"/>
      <c r="D153" s="222" t="s">
        <v>456</v>
      </c>
      <c r="E153" s="214" t="s">
        <v>589</v>
      </c>
      <c r="F153" s="215" t="s">
        <v>505</v>
      </c>
      <c r="G153" s="217" t="s">
        <v>322</v>
      </c>
      <c r="H153" s="219" t="s">
        <v>556</v>
      </c>
      <c r="I153" s="109">
        <v>642117</v>
      </c>
      <c r="J153" s="109">
        <v>42</v>
      </c>
      <c r="K153" s="109">
        <v>45</v>
      </c>
      <c r="L153" s="109">
        <v>1</v>
      </c>
      <c r="M153" s="109">
        <v>1</v>
      </c>
      <c r="N153" s="107">
        <f t="shared" si="14"/>
        <v>1213601130</v>
      </c>
      <c r="O153" s="109">
        <v>642117</v>
      </c>
      <c r="P153" s="109">
        <v>42</v>
      </c>
      <c r="Q153" s="109">
        <v>45</v>
      </c>
      <c r="R153" s="109">
        <v>1</v>
      </c>
      <c r="S153" s="109">
        <v>1</v>
      </c>
      <c r="T153" s="107">
        <f t="shared" si="20"/>
        <v>1213601130</v>
      </c>
      <c r="U153" s="109">
        <v>642117</v>
      </c>
      <c r="V153" s="109">
        <v>42</v>
      </c>
      <c r="W153" s="109">
        <v>45</v>
      </c>
      <c r="X153" s="109">
        <v>1</v>
      </c>
      <c r="Y153" s="109">
        <v>1</v>
      </c>
      <c r="Z153" s="107">
        <f t="shared" si="21"/>
        <v>1213601130</v>
      </c>
      <c r="AA153" s="109">
        <v>642117</v>
      </c>
      <c r="AB153" s="109">
        <v>42</v>
      </c>
      <c r="AC153" s="109">
        <v>45</v>
      </c>
      <c r="AD153" s="109">
        <v>1</v>
      </c>
      <c r="AE153" s="109">
        <v>1</v>
      </c>
      <c r="AF153" s="107">
        <f t="shared" si="22"/>
        <v>1213601130</v>
      </c>
      <c r="AG153" s="109">
        <v>642117</v>
      </c>
      <c r="AH153" s="109">
        <v>42</v>
      </c>
      <c r="AI153" s="109">
        <v>45</v>
      </c>
      <c r="AJ153" s="109">
        <v>1</v>
      </c>
      <c r="AK153" s="109">
        <v>1</v>
      </c>
      <c r="AL153" s="107">
        <f t="shared" si="23"/>
        <v>1213601130</v>
      </c>
    </row>
    <row r="154" spans="1:38" ht="45">
      <c r="A154" s="212" t="s">
        <v>144</v>
      </c>
      <c r="B154" s="212" t="s">
        <v>87</v>
      </c>
      <c r="C154" s="141"/>
      <c r="D154" s="222" t="s">
        <v>456</v>
      </c>
      <c r="E154" s="214" t="s">
        <v>458</v>
      </c>
      <c r="F154" s="215" t="s">
        <v>508</v>
      </c>
      <c r="G154" s="217" t="s">
        <v>322</v>
      </c>
      <c r="H154" s="219" t="s">
        <v>556</v>
      </c>
      <c r="I154" s="232">
        <v>460000</v>
      </c>
      <c r="J154" s="232">
        <v>1</v>
      </c>
      <c r="K154" s="232">
        <v>15</v>
      </c>
      <c r="L154" s="232">
        <v>1</v>
      </c>
      <c r="M154" s="232">
        <v>16</v>
      </c>
      <c r="N154" s="107">
        <f t="shared" si="14"/>
        <v>110400000</v>
      </c>
      <c r="O154" s="232">
        <v>460000</v>
      </c>
      <c r="P154" s="232">
        <v>1</v>
      </c>
      <c r="Q154" s="232">
        <v>15</v>
      </c>
      <c r="R154" s="232">
        <v>1</v>
      </c>
      <c r="S154" s="232">
        <v>16</v>
      </c>
      <c r="T154" s="107">
        <f t="shared" si="20"/>
        <v>110400000</v>
      </c>
      <c r="U154" s="232">
        <v>460000</v>
      </c>
      <c r="V154" s="232">
        <v>1</v>
      </c>
      <c r="W154" s="232">
        <v>15</v>
      </c>
      <c r="X154" s="232">
        <v>1</v>
      </c>
      <c r="Y154" s="232">
        <v>16</v>
      </c>
      <c r="Z154" s="107">
        <f t="shared" si="21"/>
        <v>110400000</v>
      </c>
      <c r="AA154" s="232">
        <v>460000</v>
      </c>
      <c r="AB154" s="232">
        <v>1</v>
      </c>
      <c r="AC154" s="232">
        <v>15</v>
      </c>
      <c r="AD154" s="232">
        <v>1</v>
      </c>
      <c r="AE154" s="232">
        <v>16</v>
      </c>
      <c r="AF154" s="107">
        <f t="shared" si="22"/>
        <v>110400000</v>
      </c>
      <c r="AG154" s="232">
        <v>460000</v>
      </c>
      <c r="AH154" s="232">
        <v>1</v>
      </c>
      <c r="AI154" s="232">
        <v>15</v>
      </c>
      <c r="AJ154" s="232">
        <v>1</v>
      </c>
      <c r="AK154" s="232">
        <v>16</v>
      </c>
      <c r="AL154" s="107">
        <f t="shared" si="23"/>
        <v>110400000</v>
      </c>
    </row>
    <row r="155" spans="1:38" s="242" customFormat="1" ht="45">
      <c r="A155" s="237" t="s">
        <v>144</v>
      </c>
      <c r="B155" s="237" t="s">
        <v>87</v>
      </c>
      <c r="C155" s="238"/>
      <c r="D155" s="222" t="s">
        <v>456</v>
      </c>
      <c r="E155" s="214" t="s">
        <v>459</v>
      </c>
      <c r="F155" s="215" t="s">
        <v>508</v>
      </c>
      <c r="G155" s="239" t="s">
        <v>322</v>
      </c>
      <c r="H155" s="219" t="s">
        <v>556</v>
      </c>
      <c r="I155" s="240">
        <v>460000</v>
      </c>
      <c r="J155" s="240">
        <v>2</v>
      </c>
      <c r="K155" s="240">
        <v>15</v>
      </c>
      <c r="L155" s="240">
        <v>1</v>
      </c>
      <c r="M155" s="240">
        <v>4</v>
      </c>
      <c r="N155" s="241">
        <f t="shared" si="14"/>
        <v>55200000</v>
      </c>
      <c r="O155" s="240">
        <v>460000</v>
      </c>
      <c r="P155" s="240">
        <v>2</v>
      </c>
      <c r="Q155" s="240">
        <v>15</v>
      </c>
      <c r="R155" s="240">
        <v>1</v>
      </c>
      <c r="S155" s="240">
        <v>4</v>
      </c>
      <c r="T155" s="241">
        <f t="shared" si="20"/>
        <v>55200000</v>
      </c>
      <c r="U155" s="240">
        <v>460000</v>
      </c>
      <c r="V155" s="240">
        <v>2</v>
      </c>
      <c r="W155" s="240">
        <v>15</v>
      </c>
      <c r="X155" s="240">
        <v>1</v>
      </c>
      <c r="Y155" s="240">
        <v>4</v>
      </c>
      <c r="Z155" s="241">
        <f t="shared" si="21"/>
        <v>55200000</v>
      </c>
      <c r="AA155" s="240">
        <v>460000</v>
      </c>
      <c r="AB155" s="240">
        <v>2</v>
      </c>
      <c r="AC155" s="240">
        <v>15</v>
      </c>
      <c r="AD155" s="240">
        <v>1</v>
      </c>
      <c r="AE155" s="240">
        <v>4</v>
      </c>
      <c r="AF155" s="241">
        <f t="shared" si="22"/>
        <v>55200000</v>
      </c>
      <c r="AG155" s="240">
        <v>460000</v>
      </c>
      <c r="AH155" s="240">
        <v>2</v>
      </c>
      <c r="AI155" s="240">
        <v>15</v>
      </c>
      <c r="AJ155" s="240">
        <v>1</v>
      </c>
      <c r="AK155" s="240">
        <v>4</v>
      </c>
      <c r="AL155" s="241">
        <f t="shared" si="23"/>
        <v>55200000</v>
      </c>
    </row>
    <row r="156" spans="1:38" ht="45">
      <c r="A156" s="212" t="s">
        <v>144</v>
      </c>
      <c r="B156" s="212" t="s">
        <v>87</v>
      </c>
      <c r="C156" s="141"/>
      <c r="D156" s="222" t="s">
        <v>460</v>
      </c>
      <c r="E156" s="214" t="s">
        <v>461</v>
      </c>
      <c r="F156" s="215" t="s">
        <v>509</v>
      </c>
      <c r="G156" s="217" t="s">
        <v>322</v>
      </c>
      <c r="H156" s="219" t="s">
        <v>556</v>
      </c>
      <c r="I156" s="109">
        <v>688848</v>
      </c>
      <c r="J156" s="109">
        <v>22</v>
      </c>
      <c r="K156" s="109">
        <v>15</v>
      </c>
      <c r="L156" s="109">
        <v>1</v>
      </c>
      <c r="M156" s="109">
        <v>1</v>
      </c>
      <c r="N156" s="107">
        <f t="shared" si="14"/>
        <v>227319840</v>
      </c>
      <c r="O156" s="109">
        <v>688848</v>
      </c>
      <c r="P156" s="109">
        <v>22</v>
      </c>
      <c r="Q156" s="109">
        <v>15</v>
      </c>
      <c r="R156" s="109">
        <v>1</v>
      </c>
      <c r="S156" s="109">
        <v>1</v>
      </c>
      <c r="T156" s="107">
        <f t="shared" si="20"/>
        <v>227319840</v>
      </c>
      <c r="U156" s="109">
        <v>688848</v>
      </c>
      <c r="V156" s="109">
        <v>22</v>
      </c>
      <c r="W156" s="109">
        <v>15</v>
      </c>
      <c r="X156" s="109">
        <v>1</v>
      </c>
      <c r="Y156" s="109">
        <v>1</v>
      </c>
      <c r="Z156" s="107">
        <f t="shared" si="21"/>
        <v>227319840</v>
      </c>
      <c r="AA156" s="109">
        <v>688848</v>
      </c>
      <c r="AB156" s="109">
        <v>22</v>
      </c>
      <c r="AC156" s="109">
        <v>15</v>
      </c>
      <c r="AD156" s="109">
        <v>1</v>
      </c>
      <c r="AE156" s="109">
        <v>1</v>
      </c>
      <c r="AF156" s="107">
        <f t="shared" si="22"/>
        <v>227319840</v>
      </c>
      <c r="AG156" s="109"/>
      <c r="AH156" s="109"/>
      <c r="AI156" s="109"/>
      <c r="AJ156" s="109"/>
      <c r="AK156" s="109"/>
      <c r="AL156" s="107">
        <f t="shared" si="23"/>
        <v>0</v>
      </c>
    </row>
    <row r="157" spans="1:38" s="242" customFormat="1" ht="45">
      <c r="A157" s="237" t="s">
        <v>144</v>
      </c>
      <c r="B157" s="237" t="s">
        <v>87</v>
      </c>
      <c r="C157" s="238"/>
      <c r="D157" s="222" t="s">
        <v>460</v>
      </c>
      <c r="E157" s="214" t="s">
        <v>462</v>
      </c>
      <c r="F157" s="215" t="s">
        <v>509</v>
      </c>
      <c r="G157" s="239" t="s">
        <v>322</v>
      </c>
      <c r="H157" s="219" t="s">
        <v>556</v>
      </c>
      <c r="I157" s="109">
        <v>688848</v>
      </c>
      <c r="J157" s="109">
        <v>22</v>
      </c>
      <c r="K157" s="109">
        <v>15</v>
      </c>
      <c r="L157" s="109">
        <v>1</v>
      </c>
      <c r="M157" s="109">
        <v>1</v>
      </c>
      <c r="N157" s="241">
        <f t="shared" si="14"/>
        <v>227319840</v>
      </c>
      <c r="O157" s="240"/>
      <c r="P157" s="240"/>
      <c r="Q157" s="240"/>
      <c r="R157" s="240"/>
      <c r="S157" s="240"/>
      <c r="T157" s="241">
        <f t="shared" si="20"/>
        <v>0</v>
      </c>
      <c r="U157" s="240"/>
      <c r="V157" s="240"/>
      <c r="W157" s="240"/>
      <c r="X157" s="240"/>
      <c r="Y157" s="240"/>
      <c r="Z157" s="241">
        <f t="shared" si="21"/>
        <v>0</v>
      </c>
      <c r="AA157" s="240"/>
      <c r="AB157" s="240"/>
      <c r="AC157" s="240"/>
      <c r="AD157" s="240"/>
      <c r="AE157" s="240"/>
      <c r="AF157" s="241">
        <f t="shared" si="22"/>
        <v>0</v>
      </c>
      <c r="AG157" s="240"/>
      <c r="AH157" s="240"/>
      <c r="AI157" s="240"/>
      <c r="AJ157" s="240"/>
      <c r="AK157" s="240"/>
      <c r="AL157" s="241">
        <f t="shared" si="23"/>
        <v>0</v>
      </c>
    </row>
    <row r="158" spans="1:38" s="242" customFormat="1" ht="45">
      <c r="A158" s="237" t="s">
        <v>144</v>
      </c>
      <c r="B158" s="237" t="s">
        <v>89</v>
      </c>
      <c r="C158" s="238"/>
      <c r="D158" s="222" t="s">
        <v>463</v>
      </c>
      <c r="E158" s="214" t="s">
        <v>464</v>
      </c>
      <c r="F158" s="215" t="s">
        <v>509</v>
      </c>
      <c r="G158" s="239" t="s">
        <v>514</v>
      </c>
      <c r="H158" s="219" t="s">
        <v>612</v>
      </c>
      <c r="I158" s="109">
        <v>420000</v>
      </c>
      <c r="J158" s="109">
        <v>15</v>
      </c>
      <c r="K158" s="109">
        <v>5</v>
      </c>
      <c r="L158" s="109">
        <v>1</v>
      </c>
      <c r="M158" s="109">
        <v>1</v>
      </c>
      <c r="N158" s="241">
        <f t="shared" si="14"/>
        <v>31500000</v>
      </c>
      <c r="O158" s="240"/>
      <c r="P158" s="240"/>
      <c r="Q158" s="240"/>
      <c r="R158" s="240"/>
      <c r="S158" s="240"/>
      <c r="T158" s="241">
        <f t="shared" si="20"/>
        <v>0</v>
      </c>
      <c r="U158" s="240"/>
      <c r="V158" s="240"/>
      <c r="W158" s="240"/>
      <c r="X158" s="240"/>
      <c r="Y158" s="240"/>
      <c r="Z158" s="241">
        <f t="shared" si="21"/>
        <v>0</v>
      </c>
      <c r="AA158" s="240"/>
      <c r="AB158" s="240"/>
      <c r="AC158" s="240"/>
      <c r="AD158" s="240"/>
      <c r="AE158" s="240"/>
      <c r="AF158" s="241">
        <f t="shared" si="22"/>
        <v>0</v>
      </c>
      <c r="AG158" s="240"/>
      <c r="AH158" s="240"/>
      <c r="AI158" s="240"/>
      <c r="AJ158" s="240"/>
      <c r="AK158" s="240"/>
      <c r="AL158" s="241">
        <f t="shared" si="23"/>
        <v>0</v>
      </c>
    </row>
    <row r="159" spans="1:38" s="242" customFormat="1" ht="45">
      <c r="A159" s="237" t="s">
        <v>144</v>
      </c>
      <c r="B159" s="237" t="s">
        <v>89</v>
      </c>
      <c r="C159" s="238"/>
      <c r="D159" s="222" t="s">
        <v>463</v>
      </c>
      <c r="E159" s="214" t="s">
        <v>465</v>
      </c>
      <c r="F159" s="151" t="s">
        <v>487</v>
      </c>
      <c r="G159" s="239" t="s">
        <v>513</v>
      </c>
      <c r="H159" s="219" t="s">
        <v>542</v>
      </c>
      <c r="I159" s="240"/>
      <c r="J159" s="240"/>
      <c r="K159" s="240"/>
      <c r="L159" s="240"/>
      <c r="M159" s="240"/>
      <c r="N159" s="241">
        <f t="shared" si="14"/>
        <v>0</v>
      </c>
      <c r="O159" s="240"/>
      <c r="P159" s="240"/>
      <c r="Q159" s="240"/>
      <c r="R159" s="240"/>
      <c r="S159" s="240"/>
      <c r="T159" s="241">
        <f t="shared" si="20"/>
        <v>0</v>
      </c>
      <c r="U159" s="240"/>
      <c r="V159" s="240"/>
      <c r="W159" s="240"/>
      <c r="X159" s="240"/>
      <c r="Y159" s="240"/>
      <c r="Z159" s="241">
        <f t="shared" si="21"/>
        <v>0</v>
      </c>
      <c r="AA159" s="240"/>
      <c r="AB159" s="240"/>
      <c r="AC159" s="240"/>
      <c r="AD159" s="240"/>
      <c r="AE159" s="240"/>
      <c r="AF159" s="241">
        <f t="shared" si="22"/>
        <v>0</v>
      </c>
      <c r="AG159" s="240"/>
      <c r="AH159" s="240"/>
      <c r="AI159" s="240"/>
      <c r="AJ159" s="240"/>
      <c r="AK159" s="240"/>
      <c r="AL159" s="241">
        <f t="shared" si="23"/>
        <v>0</v>
      </c>
    </row>
    <row r="160" spans="1:38" s="242" customFormat="1" ht="33.75">
      <c r="A160" s="237" t="s">
        <v>144</v>
      </c>
      <c r="B160" s="237" t="s">
        <v>89</v>
      </c>
      <c r="C160" s="238"/>
      <c r="D160" s="222" t="s">
        <v>466</v>
      </c>
      <c r="E160" s="214" t="s">
        <v>467</v>
      </c>
      <c r="F160" s="215" t="s">
        <v>509</v>
      </c>
      <c r="G160" s="239" t="s">
        <v>322</v>
      </c>
      <c r="H160" s="219" t="s">
        <v>556</v>
      </c>
      <c r="I160" s="109">
        <v>620000</v>
      </c>
      <c r="J160" s="109">
        <v>10</v>
      </c>
      <c r="K160" s="109">
        <v>14</v>
      </c>
      <c r="L160" s="109">
        <v>1</v>
      </c>
      <c r="M160" s="109">
        <v>1</v>
      </c>
      <c r="N160" s="241">
        <f t="shared" si="14"/>
        <v>86800000</v>
      </c>
      <c r="O160" s="240"/>
      <c r="P160" s="240"/>
      <c r="Q160" s="240"/>
      <c r="R160" s="240"/>
      <c r="S160" s="240"/>
      <c r="T160" s="241">
        <f t="shared" si="20"/>
        <v>0</v>
      </c>
      <c r="U160" s="240"/>
      <c r="V160" s="240"/>
      <c r="W160" s="240"/>
      <c r="X160" s="240"/>
      <c r="Y160" s="240"/>
      <c r="Z160" s="241">
        <f t="shared" si="21"/>
        <v>0</v>
      </c>
      <c r="AA160" s="240"/>
      <c r="AB160" s="240"/>
      <c r="AC160" s="240"/>
      <c r="AD160" s="240"/>
      <c r="AE160" s="240"/>
      <c r="AF160" s="241">
        <f t="shared" si="22"/>
        <v>0</v>
      </c>
      <c r="AG160" s="240"/>
      <c r="AH160" s="240"/>
      <c r="AI160" s="240"/>
      <c r="AJ160" s="240"/>
      <c r="AK160" s="240"/>
      <c r="AL160" s="241">
        <f t="shared" si="23"/>
        <v>0</v>
      </c>
    </row>
    <row r="161" spans="1:38" s="242" customFormat="1" ht="33.75">
      <c r="A161" s="237" t="s">
        <v>144</v>
      </c>
      <c r="B161" s="237" t="s">
        <v>89</v>
      </c>
      <c r="C161" s="238"/>
      <c r="D161" s="222" t="s">
        <v>466</v>
      </c>
      <c r="E161" s="214" t="s">
        <v>468</v>
      </c>
      <c r="F161" s="215" t="s">
        <v>509</v>
      </c>
      <c r="G161" s="239" t="s">
        <v>322</v>
      </c>
      <c r="H161" s="219" t="s">
        <v>556</v>
      </c>
      <c r="I161" s="109">
        <v>620000</v>
      </c>
      <c r="J161" s="109">
        <v>10</v>
      </c>
      <c r="K161" s="109">
        <v>14</v>
      </c>
      <c r="L161" s="109">
        <v>1</v>
      </c>
      <c r="M161" s="109">
        <v>1</v>
      </c>
      <c r="N161" s="241">
        <f t="shared" si="14"/>
        <v>86800000</v>
      </c>
      <c r="O161" s="240"/>
      <c r="P161" s="240"/>
      <c r="Q161" s="240"/>
      <c r="R161" s="240"/>
      <c r="S161" s="240"/>
      <c r="T161" s="241">
        <f t="shared" si="20"/>
        <v>0</v>
      </c>
      <c r="U161" s="240"/>
      <c r="V161" s="240"/>
      <c r="W161" s="240"/>
      <c r="X161" s="240"/>
      <c r="Y161" s="240"/>
      <c r="Z161" s="241">
        <f t="shared" si="21"/>
        <v>0</v>
      </c>
      <c r="AA161" s="240"/>
      <c r="AB161" s="240"/>
      <c r="AC161" s="240"/>
      <c r="AD161" s="240"/>
      <c r="AE161" s="240"/>
      <c r="AF161" s="241">
        <f t="shared" si="22"/>
        <v>0</v>
      </c>
      <c r="AG161" s="240"/>
      <c r="AH161" s="240"/>
      <c r="AI161" s="240"/>
      <c r="AJ161" s="240"/>
      <c r="AK161" s="240"/>
      <c r="AL161" s="241">
        <f t="shared" si="23"/>
        <v>0</v>
      </c>
    </row>
    <row r="162" spans="1:38" s="242" customFormat="1" ht="33.75">
      <c r="A162" s="237" t="s">
        <v>144</v>
      </c>
      <c r="B162" s="237" t="s">
        <v>89</v>
      </c>
      <c r="C162" s="238"/>
      <c r="D162" s="222" t="s">
        <v>466</v>
      </c>
      <c r="E162" s="214" t="s">
        <v>469</v>
      </c>
      <c r="F162" s="215" t="s">
        <v>509</v>
      </c>
      <c r="G162" s="239" t="s">
        <v>322</v>
      </c>
      <c r="H162" s="219" t="s">
        <v>556</v>
      </c>
      <c r="I162" s="109">
        <v>1230000</v>
      </c>
      <c r="J162" s="109">
        <v>13</v>
      </c>
      <c r="K162" s="109">
        <v>14</v>
      </c>
      <c r="L162" s="109">
        <v>1</v>
      </c>
      <c r="M162" s="109">
        <v>1</v>
      </c>
      <c r="N162" s="241">
        <f t="shared" si="14"/>
        <v>223860000</v>
      </c>
      <c r="O162" s="240"/>
      <c r="P162" s="240"/>
      <c r="Q162" s="240"/>
      <c r="R162" s="240"/>
      <c r="S162" s="240"/>
      <c r="T162" s="241">
        <f t="shared" si="20"/>
        <v>0</v>
      </c>
      <c r="U162" s="240"/>
      <c r="V162" s="240"/>
      <c r="W162" s="240"/>
      <c r="X162" s="240"/>
      <c r="Y162" s="240"/>
      <c r="Z162" s="241">
        <f t="shared" si="21"/>
        <v>0</v>
      </c>
      <c r="AA162" s="240"/>
      <c r="AB162" s="240"/>
      <c r="AC162" s="240"/>
      <c r="AD162" s="240"/>
      <c r="AE162" s="240"/>
      <c r="AF162" s="241">
        <f t="shared" si="22"/>
        <v>0</v>
      </c>
      <c r="AG162" s="240"/>
      <c r="AH162" s="240"/>
      <c r="AI162" s="240"/>
      <c r="AJ162" s="240"/>
      <c r="AK162" s="240"/>
      <c r="AL162" s="241">
        <f t="shared" si="23"/>
        <v>0</v>
      </c>
    </row>
    <row r="163" spans="1:38" s="242" customFormat="1" ht="56.25">
      <c r="A163" s="237" t="s">
        <v>144</v>
      </c>
      <c r="B163" s="237" t="s">
        <v>89</v>
      </c>
      <c r="C163" s="238"/>
      <c r="D163" s="222" t="s">
        <v>470</v>
      </c>
      <c r="E163" s="214" t="s">
        <v>636</v>
      </c>
      <c r="F163" s="215" t="s">
        <v>509</v>
      </c>
      <c r="G163" s="239" t="s">
        <v>513</v>
      </c>
      <c r="H163" s="219" t="s">
        <v>556</v>
      </c>
      <c r="I163" s="240">
        <v>620000</v>
      </c>
      <c r="J163" s="240">
        <v>8</v>
      </c>
      <c r="K163" s="240">
        <v>5</v>
      </c>
      <c r="L163" s="240">
        <v>1</v>
      </c>
      <c r="M163" s="240">
        <v>1</v>
      </c>
      <c r="N163" s="241">
        <f t="shared" si="14"/>
        <v>24800000</v>
      </c>
      <c r="O163" s="240"/>
      <c r="P163" s="240"/>
      <c r="Q163" s="240"/>
      <c r="R163" s="240"/>
      <c r="S163" s="240"/>
      <c r="T163" s="241">
        <f t="shared" si="20"/>
        <v>0</v>
      </c>
      <c r="U163" s="240"/>
      <c r="V163" s="240"/>
      <c r="W163" s="240"/>
      <c r="X163" s="240"/>
      <c r="Y163" s="240"/>
      <c r="Z163" s="241">
        <f t="shared" si="21"/>
        <v>0</v>
      </c>
      <c r="AA163" s="240"/>
      <c r="AB163" s="240"/>
      <c r="AC163" s="240"/>
      <c r="AD163" s="240"/>
      <c r="AE163" s="240"/>
      <c r="AF163" s="241">
        <f t="shared" si="22"/>
        <v>0</v>
      </c>
      <c r="AG163" s="240"/>
      <c r="AH163" s="240"/>
      <c r="AI163" s="240"/>
      <c r="AJ163" s="240"/>
      <c r="AK163" s="240"/>
      <c r="AL163" s="241">
        <f t="shared" si="23"/>
        <v>0</v>
      </c>
    </row>
    <row r="164" spans="1:38" s="242" customFormat="1" ht="56.25">
      <c r="A164" s="237" t="s">
        <v>144</v>
      </c>
      <c r="B164" s="237" t="s">
        <v>89</v>
      </c>
      <c r="C164" s="238"/>
      <c r="D164" s="222" t="s">
        <v>470</v>
      </c>
      <c r="E164" s="214" t="s">
        <v>471</v>
      </c>
      <c r="F164" s="215" t="s">
        <v>509</v>
      </c>
      <c r="G164" s="239" t="s">
        <v>513</v>
      </c>
      <c r="H164" s="219" t="s">
        <v>556</v>
      </c>
      <c r="I164" s="240">
        <v>620000</v>
      </c>
      <c r="J164" s="240">
        <v>10</v>
      </c>
      <c r="K164" s="240">
        <v>14</v>
      </c>
      <c r="L164" s="240">
        <v>1</v>
      </c>
      <c r="M164" s="240">
        <v>1</v>
      </c>
      <c r="N164" s="241">
        <f t="shared" si="14"/>
        <v>86800000</v>
      </c>
      <c r="O164" s="240"/>
      <c r="P164" s="240"/>
      <c r="Q164" s="240"/>
      <c r="R164" s="240"/>
      <c r="S164" s="240"/>
      <c r="T164" s="241">
        <f t="shared" si="20"/>
        <v>0</v>
      </c>
      <c r="U164" s="240"/>
      <c r="V164" s="240"/>
      <c r="W164" s="240"/>
      <c r="X164" s="240"/>
      <c r="Y164" s="240"/>
      <c r="Z164" s="241">
        <f t="shared" si="21"/>
        <v>0</v>
      </c>
      <c r="AA164" s="240"/>
      <c r="AB164" s="240"/>
      <c r="AC164" s="240"/>
      <c r="AD164" s="240"/>
      <c r="AE164" s="240"/>
      <c r="AF164" s="241">
        <f t="shared" si="22"/>
        <v>0</v>
      </c>
      <c r="AG164" s="240"/>
      <c r="AH164" s="240"/>
      <c r="AI164" s="240"/>
      <c r="AJ164" s="240"/>
      <c r="AK164" s="240"/>
      <c r="AL164" s="241">
        <f t="shared" si="23"/>
        <v>0</v>
      </c>
    </row>
    <row r="165" spans="1:38" ht="56.25">
      <c r="A165" s="212" t="s">
        <v>144</v>
      </c>
      <c r="B165" s="212" t="s">
        <v>91</v>
      </c>
      <c r="C165" s="141"/>
      <c r="D165" s="222" t="s">
        <v>472</v>
      </c>
      <c r="E165" s="214" t="s">
        <v>473</v>
      </c>
      <c r="F165" s="144"/>
      <c r="G165" s="217" t="s">
        <v>322</v>
      </c>
      <c r="H165" s="219"/>
      <c r="I165" s="109"/>
      <c r="J165" s="109"/>
      <c r="K165" s="109"/>
      <c r="L165" s="109"/>
      <c r="M165" s="109"/>
      <c r="N165" s="107">
        <f t="shared" si="14"/>
        <v>0</v>
      </c>
      <c r="O165" s="109"/>
      <c r="P165" s="109"/>
      <c r="Q165" s="109"/>
      <c r="R165" s="109"/>
      <c r="S165" s="109"/>
      <c r="T165" s="107">
        <f t="shared" si="20"/>
        <v>0</v>
      </c>
      <c r="U165" s="109"/>
      <c r="V165" s="109"/>
      <c r="W165" s="109"/>
      <c r="X165" s="109"/>
      <c r="Y165" s="109"/>
      <c r="Z165" s="107">
        <f t="shared" si="21"/>
        <v>0</v>
      </c>
      <c r="AA165" s="109"/>
      <c r="AB165" s="109"/>
      <c r="AC165" s="109"/>
      <c r="AD165" s="109"/>
      <c r="AE165" s="109"/>
      <c r="AF165" s="107">
        <f t="shared" si="22"/>
        <v>0</v>
      </c>
      <c r="AG165" s="109"/>
      <c r="AH165" s="109"/>
      <c r="AI165" s="109"/>
      <c r="AJ165" s="109"/>
      <c r="AK165" s="109"/>
      <c r="AL165" s="107">
        <f t="shared" si="23"/>
        <v>0</v>
      </c>
    </row>
    <row r="166" spans="1:38" s="242" customFormat="1" ht="33.75">
      <c r="A166" s="237" t="s">
        <v>144</v>
      </c>
      <c r="B166" s="237" t="s">
        <v>91</v>
      </c>
      <c r="C166" s="238"/>
      <c r="D166" s="222" t="s">
        <v>474</v>
      </c>
      <c r="E166" s="214" t="s">
        <v>637</v>
      </c>
      <c r="F166" s="215" t="s">
        <v>505</v>
      </c>
      <c r="G166" s="239" t="s">
        <v>515</v>
      </c>
      <c r="H166" s="219"/>
      <c r="I166" s="240">
        <v>500000</v>
      </c>
      <c r="J166" s="240">
        <v>35</v>
      </c>
      <c r="K166" s="240">
        <v>7</v>
      </c>
      <c r="L166" s="240">
        <v>1</v>
      </c>
      <c r="M166" s="240">
        <v>1</v>
      </c>
      <c r="N166" s="241">
        <f t="shared" si="14"/>
        <v>122500000</v>
      </c>
      <c r="O166" s="240">
        <v>500000</v>
      </c>
      <c r="P166" s="240">
        <v>35</v>
      </c>
      <c r="Q166" s="240">
        <v>7</v>
      </c>
      <c r="R166" s="240">
        <v>1</v>
      </c>
      <c r="S166" s="240">
        <v>1</v>
      </c>
      <c r="T166" s="241">
        <f t="shared" si="20"/>
        <v>122500000</v>
      </c>
      <c r="U166" s="240">
        <v>500000</v>
      </c>
      <c r="V166" s="240">
        <v>35</v>
      </c>
      <c r="W166" s="240">
        <v>7</v>
      </c>
      <c r="X166" s="240">
        <v>1</v>
      </c>
      <c r="Y166" s="240">
        <v>1</v>
      </c>
      <c r="Z166" s="241">
        <f t="shared" si="21"/>
        <v>122500000</v>
      </c>
      <c r="AA166" s="240">
        <v>500000</v>
      </c>
      <c r="AB166" s="240">
        <v>35</v>
      </c>
      <c r="AC166" s="240">
        <v>7</v>
      </c>
      <c r="AD166" s="240">
        <v>1</v>
      </c>
      <c r="AE166" s="240">
        <v>1</v>
      </c>
      <c r="AF166" s="241">
        <f t="shared" si="22"/>
        <v>122500000</v>
      </c>
      <c r="AG166" s="240"/>
      <c r="AH166" s="240"/>
      <c r="AI166" s="240"/>
      <c r="AJ166" s="240"/>
      <c r="AK166" s="240"/>
      <c r="AL166" s="241">
        <f t="shared" si="23"/>
        <v>0</v>
      </c>
    </row>
    <row r="167" spans="1:38" s="242" customFormat="1" ht="33.75">
      <c r="A167" s="237" t="s">
        <v>144</v>
      </c>
      <c r="B167" s="237" t="s">
        <v>91</v>
      </c>
      <c r="C167" s="238"/>
      <c r="D167" s="222" t="s">
        <v>474</v>
      </c>
      <c r="E167" s="214" t="s">
        <v>475</v>
      </c>
      <c r="F167" s="144" t="s">
        <v>487</v>
      </c>
      <c r="G167" s="239" t="s">
        <v>322</v>
      </c>
      <c r="H167" s="219" t="s">
        <v>542</v>
      </c>
      <c r="I167" s="240"/>
      <c r="J167" s="240"/>
      <c r="K167" s="240"/>
      <c r="L167" s="240"/>
      <c r="M167" s="240"/>
      <c r="N167" s="241">
        <f t="shared" si="14"/>
        <v>0</v>
      </c>
      <c r="O167" s="240"/>
      <c r="P167" s="240"/>
      <c r="Q167" s="240"/>
      <c r="R167" s="240"/>
      <c r="S167" s="240"/>
      <c r="T167" s="241">
        <f t="shared" si="20"/>
        <v>0</v>
      </c>
      <c r="U167" s="240"/>
      <c r="V167" s="240"/>
      <c r="W167" s="240"/>
      <c r="X167" s="240"/>
      <c r="Y167" s="240"/>
      <c r="Z167" s="241">
        <f t="shared" si="21"/>
        <v>0</v>
      </c>
      <c r="AA167" s="240"/>
      <c r="AB167" s="240"/>
      <c r="AC167" s="240"/>
      <c r="AD167" s="240"/>
      <c r="AE167" s="240"/>
      <c r="AF167" s="241">
        <f t="shared" si="22"/>
        <v>0</v>
      </c>
      <c r="AG167" s="240"/>
      <c r="AH167" s="240"/>
      <c r="AI167" s="240"/>
      <c r="AJ167" s="240"/>
      <c r="AK167" s="240"/>
      <c r="AL167" s="241">
        <f t="shared" si="23"/>
        <v>0</v>
      </c>
    </row>
    <row r="168" spans="1:38" ht="33.75">
      <c r="A168" s="212" t="s">
        <v>144</v>
      </c>
      <c r="B168" s="212" t="s">
        <v>91</v>
      </c>
      <c r="C168" s="141"/>
      <c r="D168" s="222" t="s">
        <v>476</v>
      </c>
      <c r="E168" s="214" t="s">
        <v>477</v>
      </c>
      <c r="F168" s="215" t="s">
        <v>510</v>
      </c>
      <c r="G168" s="217" t="s">
        <v>322</v>
      </c>
      <c r="H168" s="219"/>
      <c r="I168" s="109">
        <v>1230000</v>
      </c>
      <c r="J168" s="109">
        <v>5</v>
      </c>
      <c r="K168" s="109">
        <v>3</v>
      </c>
      <c r="L168" s="109">
        <v>1</v>
      </c>
      <c r="M168" s="109">
        <v>1</v>
      </c>
      <c r="N168" s="107">
        <f t="shared" si="14"/>
        <v>18450000</v>
      </c>
      <c r="O168" s="109"/>
      <c r="P168" s="109"/>
      <c r="Q168" s="109"/>
      <c r="R168" s="109"/>
      <c r="S168" s="109"/>
      <c r="T168" s="107">
        <f t="shared" si="20"/>
        <v>0</v>
      </c>
      <c r="U168" s="109"/>
      <c r="V168" s="109"/>
      <c r="W168" s="109"/>
      <c r="X168" s="109"/>
      <c r="Y168" s="109"/>
      <c r="Z168" s="107">
        <f t="shared" si="21"/>
        <v>0</v>
      </c>
      <c r="AA168" s="109"/>
      <c r="AB168" s="109"/>
      <c r="AC168" s="109"/>
      <c r="AD168" s="109"/>
      <c r="AE168" s="109"/>
      <c r="AF168" s="107">
        <f t="shared" si="22"/>
        <v>0</v>
      </c>
      <c r="AG168" s="109"/>
      <c r="AH168" s="109"/>
      <c r="AI168" s="109"/>
      <c r="AJ168" s="109"/>
      <c r="AK168" s="109"/>
      <c r="AL168" s="107">
        <f t="shared" si="23"/>
        <v>0</v>
      </c>
    </row>
    <row r="169" spans="1:38" ht="33.75">
      <c r="A169" s="212" t="s">
        <v>144</v>
      </c>
      <c r="B169" s="212" t="s">
        <v>91</v>
      </c>
      <c r="C169" s="141"/>
      <c r="D169" s="222" t="s">
        <v>476</v>
      </c>
      <c r="E169" s="214" t="s">
        <v>478</v>
      </c>
      <c r="F169" s="215" t="s">
        <v>510</v>
      </c>
      <c r="G169" s="217" t="s">
        <v>513</v>
      </c>
      <c r="H169" s="219"/>
      <c r="I169" s="109">
        <v>620000</v>
      </c>
      <c r="J169" s="109">
        <v>10</v>
      </c>
      <c r="K169" s="109">
        <v>14</v>
      </c>
      <c r="L169" s="109">
        <v>1</v>
      </c>
      <c r="M169" s="109">
        <v>1</v>
      </c>
      <c r="N169" s="107">
        <f t="shared" si="14"/>
        <v>86800000</v>
      </c>
      <c r="O169" s="109"/>
      <c r="P169" s="109"/>
      <c r="Q169" s="109"/>
      <c r="R169" s="109"/>
      <c r="S169" s="109"/>
      <c r="T169" s="107">
        <f t="shared" si="20"/>
        <v>0</v>
      </c>
      <c r="U169" s="109"/>
      <c r="V169" s="109"/>
      <c r="W169" s="109"/>
      <c r="X169" s="109"/>
      <c r="Y169" s="109"/>
      <c r="Z169" s="107">
        <f t="shared" si="21"/>
        <v>0</v>
      </c>
      <c r="AA169" s="109"/>
      <c r="AB169" s="109"/>
      <c r="AC169" s="109"/>
      <c r="AD169" s="109"/>
      <c r="AE169" s="109"/>
      <c r="AF169" s="107">
        <f t="shared" si="22"/>
        <v>0</v>
      </c>
      <c r="AG169" s="109"/>
      <c r="AH169" s="109"/>
      <c r="AI169" s="109"/>
      <c r="AJ169" s="109"/>
      <c r="AK169" s="109"/>
      <c r="AL169" s="107">
        <f t="shared" si="23"/>
        <v>0</v>
      </c>
    </row>
    <row r="170" spans="1:38" s="242" customFormat="1" ht="45">
      <c r="A170" s="237" t="s">
        <v>144</v>
      </c>
      <c r="B170" s="237" t="s">
        <v>91</v>
      </c>
      <c r="C170" s="238"/>
      <c r="D170" s="222" t="s">
        <v>479</v>
      </c>
      <c r="E170" s="214" t="s">
        <v>638</v>
      </c>
      <c r="F170" s="144" t="s">
        <v>490</v>
      </c>
      <c r="G170" s="239" t="s">
        <v>516</v>
      </c>
      <c r="H170" s="219" t="s">
        <v>542</v>
      </c>
      <c r="I170" s="240"/>
      <c r="J170" s="240"/>
      <c r="K170" s="240"/>
      <c r="L170" s="240"/>
      <c r="M170" s="240"/>
      <c r="N170" s="241">
        <f t="shared" si="14"/>
        <v>0</v>
      </c>
      <c r="O170" s="240"/>
      <c r="P170" s="240"/>
      <c r="Q170" s="240"/>
      <c r="R170" s="240"/>
      <c r="S170" s="240"/>
      <c r="T170" s="241">
        <f t="shared" si="20"/>
        <v>0</v>
      </c>
      <c r="U170" s="240"/>
      <c r="V170" s="240"/>
      <c r="W170" s="240"/>
      <c r="X170" s="240"/>
      <c r="Y170" s="240"/>
      <c r="Z170" s="241">
        <f t="shared" si="21"/>
        <v>0</v>
      </c>
      <c r="AA170" s="240"/>
      <c r="AB170" s="240"/>
      <c r="AC170" s="240"/>
      <c r="AD170" s="240"/>
      <c r="AE170" s="240"/>
      <c r="AF170" s="241">
        <f t="shared" si="22"/>
        <v>0</v>
      </c>
      <c r="AG170" s="240"/>
      <c r="AH170" s="240"/>
      <c r="AI170" s="240"/>
      <c r="AJ170" s="240"/>
      <c r="AK170" s="240"/>
      <c r="AL170" s="241">
        <f t="shared" si="23"/>
        <v>0</v>
      </c>
    </row>
    <row r="171" spans="1:38" ht="45">
      <c r="A171" s="212" t="s">
        <v>144</v>
      </c>
      <c r="B171" s="212" t="s">
        <v>91</v>
      </c>
      <c r="C171" s="141"/>
      <c r="D171" s="222" t="s">
        <v>479</v>
      </c>
      <c r="E171" s="214" t="s">
        <v>480</v>
      </c>
      <c r="F171" s="215" t="s">
        <v>509</v>
      </c>
      <c r="G171" s="217" t="s">
        <v>322</v>
      </c>
      <c r="H171" s="219"/>
      <c r="I171" s="109">
        <v>620000</v>
      </c>
      <c r="J171" s="109">
        <v>25</v>
      </c>
      <c r="K171" s="109">
        <v>5</v>
      </c>
      <c r="L171" s="109">
        <v>1</v>
      </c>
      <c r="M171" s="109">
        <v>1</v>
      </c>
      <c r="N171" s="107">
        <f t="shared" si="14"/>
        <v>77500000</v>
      </c>
      <c r="O171" s="109"/>
      <c r="P171" s="109"/>
      <c r="Q171" s="109"/>
      <c r="R171" s="109"/>
      <c r="S171" s="109"/>
      <c r="T171" s="107">
        <f t="shared" si="20"/>
        <v>0</v>
      </c>
      <c r="U171" s="109"/>
      <c r="V171" s="109"/>
      <c r="W171" s="109"/>
      <c r="X171" s="109"/>
      <c r="Y171" s="109"/>
      <c r="Z171" s="107">
        <f t="shared" si="21"/>
        <v>0</v>
      </c>
      <c r="AA171" s="109"/>
      <c r="AB171" s="109"/>
      <c r="AC171" s="109"/>
      <c r="AD171" s="109"/>
      <c r="AE171" s="109"/>
      <c r="AF171" s="107">
        <f t="shared" si="22"/>
        <v>0</v>
      </c>
      <c r="AG171" s="109"/>
      <c r="AH171" s="109"/>
      <c r="AI171" s="109"/>
      <c r="AJ171" s="109"/>
      <c r="AK171" s="109"/>
      <c r="AL171" s="107">
        <f t="shared" si="23"/>
        <v>0</v>
      </c>
    </row>
    <row r="172" spans="1:38">
      <c r="N172" s="246"/>
      <c r="T172" s="246"/>
      <c r="Z172" s="246"/>
      <c r="AF172" s="246"/>
      <c r="AL172" s="246"/>
    </row>
    <row r="173" spans="1:38">
      <c r="AF173" s="246"/>
    </row>
    <row r="198" spans="1:3" ht="15.75">
      <c r="A198" s="152" t="s">
        <v>86</v>
      </c>
      <c r="B198" s="153" t="s">
        <v>87</v>
      </c>
      <c r="C198" s="154"/>
    </row>
    <row r="199" spans="1:3" ht="15.75">
      <c r="A199" s="152" t="s">
        <v>88</v>
      </c>
      <c r="B199" s="153" t="s">
        <v>89</v>
      </c>
      <c r="C199" s="154"/>
    </row>
    <row r="200" spans="1:3" ht="15.75">
      <c r="A200" s="152" t="s">
        <v>90</v>
      </c>
      <c r="B200" s="153" t="s">
        <v>91</v>
      </c>
      <c r="C200" s="154"/>
    </row>
    <row r="201" spans="1:3" ht="15.75">
      <c r="A201" s="152" t="s">
        <v>92</v>
      </c>
      <c r="B201" s="153" t="s">
        <v>93</v>
      </c>
      <c r="C201" s="154"/>
    </row>
    <row r="202" spans="1:3" ht="15.75">
      <c r="A202" s="152" t="s">
        <v>94</v>
      </c>
      <c r="B202" s="153" t="s">
        <v>95</v>
      </c>
      <c r="C202" s="154"/>
    </row>
    <row r="203" spans="1:3" ht="15.75">
      <c r="A203" s="152" t="s">
        <v>96</v>
      </c>
      <c r="B203" s="153" t="s">
        <v>97</v>
      </c>
      <c r="C203" s="154"/>
    </row>
    <row r="204" spans="1:3" ht="15.75">
      <c r="A204" s="152" t="s">
        <v>98</v>
      </c>
      <c r="B204" s="153" t="s">
        <v>99</v>
      </c>
      <c r="C204" s="154"/>
    </row>
    <row r="205" spans="1:3" ht="15.75">
      <c r="A205" s="152" t="s">
        <v>100</v>
      </c>
      <c r="B205" s="153" t="s">
        <v>101</v>
      </c>
      <c r="C205" s="154"/>
    </row>
    <row r="206" spans="1:3" ht="15.75">
      <c r="A206" s="152" t="s">
        <v>102</v>
      </c>
      <c r="B206" s="153" t="s">
        <v>103</v>
      </c>
      <c r="C206" s="154"/>
    </row>
    <row r="207" spans="1:3" ht="15.75">
      <c r="A207" s="152" t="s">
        <v>104</v>
      </c>
      <c r="B207" s="153" t="s">
        <v>105</v>
      </c>
      <c r="C207" s="154"/>
    </row>
    <row r="208" spans="1:3" ht="15.75">
      <c r="A208" s="153" t="s">
        <v>106</v>
      </c>
      <c r="B208" s="153"/>
      <c r="C208" s="154"/>
    </row>
    <row r="209" spans="1:3" ht="15.75">
      <c r="A209" s="153" t="s">
        <v>107</v>
      </c>
      <c r="B209" s="153"/>
      <c r="C209" s="154"/>
    </row>
    <row r="210" spans="1:3" ht="15.75">
      <c r="A210" s="152" t="s">
        <v>108</v>
      </c>
      <c r="B210" s="153"/>
      <c r="C210" s="154"/>
    </row>
    <row r="211" spans="1:3" ht="15.75">
      <c r="A211" s="152" t="s">
        <v>109</v>
      </c>
      <c r="B211" s="153"/>
      <c r="C211" s="154"/>
    </row>
    <row r="212" spans="1:3" ht="15.75">
      <c r="A212" s="152" t="s">
        <v>110</v>
      </c>
      <c r="B212" s="153"/>
      <c r="C212" s="154"/>
    </row>
    <row r="213" spans="1:3" ht="15.75">
      <c r="A213" s="152" t="s">
        <v>111</v>
      </c>
      <c r="B213" s="153"/>
      <c r="C213" s="154"/>
    </row>
    <row r="214" spans="1:3" ht="15.75">
      <c r="A214" s="152" t="s">
        <v>112</v>
      </c>
      <c r="B214" s="153"/>
      <c r="C214" s="154"/>
    </row>
    <row r="215" spans="1:3" ht="15.75">
      <c r="A215" s="152" t="s">
        <v>113</v>
      </c>
      <c r="B215" s="153"/>
      <c r="C215" s="154"/>
    </row>
    <row r="216" spans="1:3" ht="15.75">
      <c r="A216" s="152" t="s">
        <v>114</v>
      </c>
      <c r="B216" s="153"/>
      <c r="C216" s="154"/>
    </row>
    <row r="217" spans="1:3" ht="15.75">
      <c r="A217" s="153" t="s">
        <v>115</v>
      </c>
      <c r="B217" s="153"/>
      <c r="C217" s="154"/>
    </row>
  </sheetData>
  <autoFilter ref="A1:AL171"/>
  <mergeCells count="23">
    <mergeCell ref="A60:A61"/>
    <mergeCell ref="B60:B61"/>
    <mergeCell ref="F56:F57"/>
    <mergeCell ref="E56:E57"/>
    <mergeCell ref="C56:C57"/>
    <mergeCell ref="E60:E61"/>
    <mergeCell ref="D60:D61"/>
    <mergeCell ref="C60:C61"/>
    <mergeCell ref="F60:F61"/>
    <mergeCell ref="G60:G61"/>
    <mergeCell ref="H60:H61"/>
    <mergeCell ref="D36:D37"/>
    <mergeCell ref="D42:D43"/>
    <mergeCell ref="F42:F43"/>
    <mergeCell ref="D56:D57"/>
    <mergeCell ref="G56:G57"/>
    <mergeCell ref="G1:G2"/>
    <mergeCell ref="H1:H2"/>
    <mergeCell ref="A1:A2"/>
    <mergeCell ref="B1:B2"/>
    <mergeCell ref="C1:C2"/>
    <mergeCell ref="D1:D2"/>
    <mergeCell ref="E1:E2"/>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32"/>
  <sheetViews>
    <sheetView view="pageBreakPreview" zoomScaleNormal="25" zoomScaleSheetLayoutView="100" workbookViewId="0">
      <pane ySplit="2" topLeftCell="A3" activePane="bottomLeft" state="frozen"/>
      <selection pane="bottomLeft" activeCell="C1" sqref="C1:C2"/>
    </sheetView>
  </sheetViews>
  <sheetFormatPr baseColWidth="10" defaultColWidth="9.140625" defaultRowHeight="15" customHeight="1"/>
  <cols>
    <col min="1" max="1" width="25" style="134" customWidth="1"/>
    <col min="2" max="2" width="22.85546875" style="134" customWidth="1"/>
    <col min="3" max="3" width="17.5703125" style="134" customWidth="1"/>
    <col min="4" max="8" width="11.140625" style="134" customWidth="1"/>
    <col min="9" max="9" width="4.42578125" style="134" customWidth="1"/>
    <col min="10" max="10" width="9.140625" style="134" customWidth="1"/>
    <col min="11" max="16384" width="9.140625" style="134"/>
  </cols>
  <sheetData>
    <row r="1" spans="1:8" s="131" customFormat="1" ht="15" customHeight="1">
      <c r="A1" s="346" t="s">
        <v>76</v>
      </c>
      <c r="B1" s="347" t="s">
        <v>116</v>
      </c>
      <c r="C1" s="346" t="s">
        <v>80</v>
      </c>
      <c r="D1" s="295">
        <f>'Plan annuel Différentes Maladie'!T3</f>
        <v>2018</v>
      </c>
      <c r="E1" s="295">
        <f>D1+1</f>
        <v>2019</v>
      </c>
      <c r="F1" s="346">
        <f>E1+1</f>
        <v>2020</v>
      </c>
      <c r="G1" s="346">
        <f>F1+1</f>
        <v>2021</v>
      </c>
      <c r="H1" s="346">
        <f>G1+1</f>
        <v>2022</v>
      </c>
    </row>
    <row r="2" spans="1:8" s="132" customFormat="1" ht="15" customHeight="1">
      <c r="A2" s="346"/>
      <c r="B2" s="347"/>
      <c r="C2" s="346"/>
      <c r="D2" s="346"/>
      <c r="E2" s="346"/>
      <c r="F2" s="346"/>
      <c r="G2" s="346"/>
      <c r="H2" s="346"/>
    </row>
    <row r="3" spans="1:8" s="133" customFormat="1" ht="12">
      <c r="A3" s="135"/>
      <c r="B3" s="136"/>
      <c r="C3" s="136"/>
      <c r="D3" s="108"/>
      <c r="E3" s="108"/>
      <c r="F3" s="108"/>
      <c r="G3" s="108"/>
      <c r="H3" s="108"/>
    </row>
    <row r="4" spans="1:8" s="133" customFormat="1" ht="12">
      <c r="A4" s="136"/>
      <c r="B4" s="136"/>
      <c r="C4" s="136"/>
      <c r="D4" s="108"/>
      <c r="E4" s="108"/>
      <c r="F4" s="108"/>
      <c r="G4" s="108"/>
      <c r="H4" s="108"/>
    </row>
    <row r="5" spans="1:8" s="133" customFormat="1" ht="26.25" customHeight="1">
      <c r="A5" s="137"/>
      <c r="B5" s="136"/>
      <c r="C5" s="136"/>
      <c r="D5" s="108"/>
      <c r="E5" s="108"/>
      <c r="F5" s="108"/>
      <c r="G5" s="108"/>
      <c r="H5" s="108"/>
    </row>
    <row r="6" spans="1:8" s="133" customFormat="1" ht="26.25" customHeight="1">
      <c r="A6" s="137"/>
      <c r="B6" s="136"/>
      <c r="C6" s="136"/>
      <c r="D6" s="108"/>
      <c r="E6" s="108"/>
      <c r="F6" s="108"/>
      <c r="G6" s="108"/>
      <c r="H6" s="108"/>
    </row>
    <row r="7" spans="1:8" s="133" customFormat="1" ht="26.25" customHeight="1">
      <c r="A7" s="137"/>
      <c r="B7" s="136"/>
      <c r="C7" s="136"/>
      <c r="D7" s="108"/>
      <c r="E7" s="108"/>
      <c r="F7" s="108"/>
      <c r="G7" s="108"/>
      <c r="H7" s="108"/>
    </row>
    <row r="8" spans="1:8" s="133" customFormat="1" ht="26.25" customHeight="1">
      <c r="A8" s="137"/>
      <c r="B8" s="136"/>
      <c r="C8" s="136"/>
      <c r="D8" s="108"/>
      <c r="E8" s="108"/>
      <c r="F8" s="108"/>
      <c r="G8" s="108"/>
      <c r="H8" s="108"/>
    </row>
    <row r="9" spans="1:8" s="133" customFormat="1" ht="26.25" customHeight="1">
      <c r="A9" s="137"/>
      <c r="B9" s="136"/>
      <c r="C9" s="136"/>
      <c r="D9" s="108"/>
      <c r="E9" s="108"/>
      <c r="F9" s="108"/>
      <c r="G9" s="108"/>
      <c r="H9" s="108"/>
    </row>
    <row r="10" spans="1:8" s="133" customFormat="1" ht="26.25" customHeight="1">
      <c r="A10" s="137"/>
      <c r="B10" s="136"/>
      <c r="C10" s="136"/>
      <c r="D10" s="108"/>
      <c r="E10" s="108"/>
      <c r="F10" s="108"/>
      <c r="G10" s="108"/>
      <c r="H10" s="108"/>
    </row>
    <row r="11" spans="1:8" s="133" customFormat="1" ht="26.25" customHeight="1">
      <c r="A11" s="137"/>
      <c r="B11" s="136"/>
      <c r="C11" s="136"/>
      <c r="D11" s="108"/>
      <c r="E11" s="108"/>
      <c r="F11" s="108"/>
      <c r="G11" s="108"/>
      <c r="H11" s="108"/>
    </row>
    <row r="12" spans="1:8" s="133" customFormat="1" ht="23.25" customHeight="1">
      <c r="A12" s="137"/>
      <c r="B12" s="136"/>
      <c r="C12" s="136"/>
      <c r="D12" s="108"/>
      <c r="E12" s="108"/>
      <c r="F12" s="108"/>
      <c r="G12" s="108"/>
      <c r="H12" s="108"/>
    </row>
    <row r="13" spans="1:8" s="133" customFormat="1" ht="12.75" customHeight="1">
      <c r="A13" s="137"/>
      <c r="B13" s="136"/>
      <c r="C13" s="136"/>
      <c r="D13" s="108"/>
      <c r="E13" s="108"/>
      <c r="F13" s="108"/>
      <c r="G13" s="108"/>
      <c r="H13" s="108"/>
    </row>
    <row r="14" spans="1:8" s="133" customFormat="1" ht="24.75" customHeight="1">
      <c r="A14" s="137"/>
      <c r="B14" s="136"/>
      <c r="C14" s="136"/>
      <c r="D14" s="108"/>
      <c r="E14" s="108"/>
      <c r="F14" s="108"/>
      <c r="G14" s="108"/>
      <c r="H14" s="108"/>
    </row>
    <row r="15" spans="1:8" s="133" customFormat="1" ht="23.25" customHeight="1">
      <c r="A15" s="137"/>
      <c r="B15" s="136"/>
      <c r="C15" s="136"/>
      <c r="D15" s="108"/>
      <c r="E15" s="108"/>
      <c r="F15" s="108"/>
      <c r="G15" s="108"/>
      <c r="H15" s="108"/>
    </row>
    <row r="16" spans="1:8" s="133" customFormat="1" ht="24.75" customHeight="1">
      <c r="A16" s="137"/>
      <c r="B16" s="136"/>
      <c r="C16" s="136"/>
      <c r="D16" s="108"/>
      <c r="E16" s="108"/>
      <c r="F16" s="108"/>
      <c r="G16" s="108"/>
      <c r="H16" s="108"/>
    </row>
    <row r="17" spans="1:8" s="133" customFormat="1" ht="23.25" customHeight="1">
      <c r="A17" s="137"/>
      <c r="B17" s="136"/>
      <c r="C17" s="136"/>
      <c r="D17" s="108"/>
      <c r="E17" s="108"/>
      <c r="F17" s="108"/>
      <c r="G17" s="108"/>
      <c r="H17" s="108"/>
    </row>
    <row r="18" spans="1:8" s="133" customFormat="1" ht="22.5" customHeight="1">
      <c r="A18" s="137"/>
      <c r="B18" s="136"/>
      <c r="C18" s="136"/>
      <c r="D18" s="108"/>
      <c r="E18" s="108"/>
      <c r="F18" s="108"/>
      <c r="G18" s="108"/>
      <c r="H18" s="108"/>
    </row>
    <row r="19" spans="1:8" s="133" customFormat="1" ht="24" customHeight="1">
      <c r="A19" s="137"/>
      <c r="B19" s="136"/>
      <c r="C19" s="136"/>
      <c r="D19" s="108"/>
      <c r="E19" s="108"/>
      <c r="F19" s="108"/>
      <c r="G19" s="108"/>
      <c r="H19" s="108"/>
    </row>
    <row r="20" spans="1:8" s="133" customFormat="1" ht="27.75" customHeight="1">
      <c r="A20" s="137"/>
      <c r="B20" s="136"/>
      <c r="C20" s="136"/>
      <c r="D20" s="108"/>
      <c r="E20" s="108"/>
      <c r="F20" s="108"/>
      <c r="G20" s="108"/>
      <c r="H20" s="108"/>
    </row>
    <row r="21" spans="1:8" s="133" customFormat="1" ht="24.75" customHeight="1">
      <c r="A21" s="137"/>
      <c r="B21" s="136"/>
      <c r="C21" s="136"/>
      <c r="D21" s="108"/>
      <c r="E21" s="108"/>
      <c r="F21" s="108"/>
      <c r="G21" s="108"/>
      <c r="H21" s="108"/>
    </row>
    <row r="22" spans="1:8" s="133" customFormat="1" ht="12.75" customHeight="1">
      <c r="A22" s="137"/>
      <c r="B22" s="136"/>
      <c r="C22" s="136"/>
      <c r="D22" s="108"/>
      <c r="E22" s="108"/>
      <c r="F22" s="108"/>
      <c r="G22" s="108"/>
      <c r="H22" s="108"/>
    </row>
    <row r="23" spans="1:8" s="133" customFormat="1" ht="12.75" customHeight="1">
      <c r="A23" s="137"/>
      <c r="B23" s="136"/>
      <c r="C23" s="136"/>
      <c r="D23" s="108"/>
      <c r="E23" s="108"/>
      <c r="F23" s="108"/>
      <c r="G23" s="108"/>
      <c r="H23" s="108"/>
    </row>
    <row r="24" spans="1:8" s="133" customFormat="1" ht="12.75" customHeight="1">
      <c r="A24" s="137"/>
      <c r="B24" s="136"/>
      <c r="C24" s="136"/>
      <c r="D24" s="108"/>
      <c r="E24" s="108"/>
      <c r="F24" s="108"/>
      <c r="G24" s="108"/>
      <c r="H24" s="108"/>
    </row>
    <row r="25" spans="1:8" s="133" customFormat="1" ht="12.75" customHeight="1">
      <c r="A25" s="137"/>
      <c r="B25" s="136"/>
      <c r="C25" s="136"/>
      <c r="D25" s="108"/>
      <c r="E25" s="108"/>
      <c r="F25" s="108"/>
      <c r="G25" s="108"/>
      <c r="H25" s="108"/>
    </row>
    <row r="26" spans="1:8" s="133" customFormat="1" ht="12.75" customHeight="1">
      <c r="A26" s="137"/>
      <c r="B26" s="136"/>
      <c r="C26" s="136"/>
      <c r="D26" s="108"/>
      <c r="E26" s="108"/>
      <c r="F26" s="108"/>
      <c r="G26" s="108"/>
      <c r="H26" s="108"/>
    </row>
    <row r="27" spans="1:8" s="133" customFormat="1" ht="12.75" customHeight="1">
      <c r="A27" s="137"/>
      <c r="B27" s="137"/>
      <c r="C27" s="136"/>
      <c r="D27" s="108"/>
      <c r="E27" s="108"/>
      <c r="F27" s="108"/>
      <c r="G27" s="108"/>
      <c r="H27" s="108"/>
    </row>
    <row r="28" spans="1:8" s="131" customFormat="1" ht="12" customHeight="1">
      <c r="C28" s="134"/>
      <c r="D28" s="134"/>
      <c r="E28" s="134"/>
      <c r="F28" s="134"/>
      <c r="G28" s="134"/>
      <c r="H28" s="134"/>
    </row>
    <row r="29" spans="1:8" s="131" customFormat="1" ht="12" customHeight="1">
      <c r="C29" s="134"/>
      <c r="D29" s="134"/>
      <c r="E29" s="134"/>
      <c r="F29" s="134"/>
      <c r="G29" s="134"/>
      <c r="H29" s="134"/>
    </row>
    <row r="30" spans="1:8" s="131" customFormat="1" ht="12" customHeight="1">
      <c r="C30" s="138"/>
      <c r="D30" s="134"/>
      <c r="E30" s="134"/>
      <c r="F30" s="134"/>
      <c r="G30" s="134"/>
      <c r="H30" s="134"/>
    </row>
    <row r="31" spans="1:8" ht="12" customHeight="1"/>
    <row r="32" spans="1:8" ht="8.25" customHeight="1"/>
  </sheetData>
  <sheetProtection formatCells="0" formatColumns="0" formatRows="0" insertColumns="0" insertRows="0"/>
  <mergeCells count="8">
    <mergeCell ref="F1:F2"/>
    <mergeCell ref="G1:G2"/>
    <mergeCell ref="H1:H2"/>
    <mergeCell ref="A1:A2"/>
    <mergeCell ref="B1:B2"/>
    <mergeCell ref="C1:C2"/>
    <mergeCell ref="D1:D2"/>
    <mergeCell ref="E1:E2"/>
  </mergeCells>
  <printOptions horizontalCentered="1"/>
  <pageMargins left="0.74791666666666701" right="0.74791666666666701" top="0.4" bottom="0.98402777777777795" header="0.25" footer="0.51180555555555596"/>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10</vt:i4>
      </vt:variant>
    </vt:vector>
  </HeadingPairs>
  <TitlesOfParts>
    <vt:vector size="30" baseType="lpstr">
      <vt:lpstr>A lire d'abord</vt:lpstr>
      <vt:lpstr>Page d'accueil</vt:lpstr>
      <vt:lpstr>Insérer Districts</vt:lpstr>
      <vt:lpstr>Population</vt:lpstr>
      <vt:lpstr>Plan annuel Différentes Maladie</vt:lpstr>
      <vt:lpstr>Insérer Activités</vt:lpstr>
      <vt:lpstr>Coût Activités</vt:lpstr>
      <vt:lpstr>Feuil1</vt:lpstr>
      <vt:lpstr>Coût des investissements</vt:lpstr>
      <vt:lpstr>Financement</vt:lpstr>
      <vt:lpstr>Coût des médicaments</vt:lpstr>
      <vt:lpstr>Résumé et gaps</vt:lpstr>
      <vt:lpstr>Analyses</vt:lpstr>
      <vt:lpstr>Résumé sommaire (GNF)</vt:lpstr>
      <vt:lpstr>Résumé sommaire (USD)</vt:lpstr>
      <vt:lpstr>Pop Cibles</vt:lpstr>
      <vt:lpstr>Médicaments</vt:lpstr>
      <vt:lpstr>Feuil3</vt:lpstr>
      <vt:lpstr>List</vt:lpstr>
      <vt:lpstr>Résumé sommaire PS</vt:lpstr>
      <vt:lpstr>'A lire d''abord'!Zone_d_impression</vt:lpstr>
      <vt:lpstr>Analyses!Zone_d_impression</vt:lpstr>
      <vt:lpstr>'Coût Activités'!Zone_d_impression</vt:lpstr>
      <vt:lpstr>'Coût des investissements'!Zone_d_impression</vt:lpstr>
      <vt:lpstr>Financement!Zone_d_impression</vt:lpstr>
      <vt:lpstr>'Insérer Activités'!Zone_d_impression</vt:lpstr>
      <vt:lpstr>'Insérer Districts'!Zone_d_impression</vt:lpstr>
      <vt:lpstr>'Page d''accueil'!Zone_d_impression</vt:lpstr>
      <vt:lpstr>'Plan annuel Différentes Maladie'!Zone_d_impression</vt:lpstr>
      <vt:lpstr>'Résumé et gaps'!Zone_d_impression</vt:lpstr>
    </vt:vector>
  </TitlesOfParts>
  <Company>World Health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Yajima</dc:creator>
  <cp:lastModifiedBy>Dell</cp:lastModifiedBy>
  <cp:lastPrinted>2012-04-18T17:21:35Z</cp:lastPrinted>
  <dcterms:created xsi:type="dcterms:W3CDTF">2009-11-20T08:01:28Z</dcterms:created>
  <dcterms:modified xsi:type="dcterms:W3CDTF">2018-12-27T14:38:35Z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KSOProductBuildVer">
    <vt:lpwstr>1036-10.2.0.5965</vt:lpwstr>
  </property>
</Properties>
</file>